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anfoss-my.sharepoint.com/personal/y_monin_danfoss_com/Documents/CDU/CO2/iCO2/Traduction Calcul de charge/"/>
    </mc:Choice>
  </mc:AlternateContent>
  <xr:revisionPtr revIDLastSave="165" documentId="8_{53F551F0-1485-44B3-95B8-477B87D9F813}" xr6:coauthVersionLast="47" xr6:coauthVersionMax="47" xr10:uidLastSave="{F184EAC6-DB28-43B2-81F4-91A465437B92}"/>
  <workbookProtection workbookAlgorithmName="SHA-512" workbookHashValue="A1s1NEQ25QvhlLKGiDW0D7eMzZDMIYNlRx/nIWePECx8BjgDkAICW1kkIgkD/POFzBjMYUvnQ10G63Vm2Es0dw==" workbookSaltValue="bKrKO/EeHn15EoNIDSOXkg==" workbookSpinCount="100000" lockStructure="1"/>
  <bookViews>
    <workbookView xWindow="28680" yWindow="-1695" windowWidth="29040" windowHeight="17520" tabRatio="620" xr2:uid="{00000000-000D-0000-FFFF-FFFF00000000}"/>
  </bookViews>
  <sheets>
    <sheet name="Refrigerant &amp; Oil Charge" sheetId="7" r:id="rId1"/>
    <sheet name="evap CDU charge" sheetId="10"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7" l="1"/>
  <c r="L11" i="7"/>
  <c r="F15" i="7"/>
  <c r="C48" i="7"/>
  <c r="O20" i="7" l="1"/>
  <c r="O24" i="7" l="1"/>
  <c r="L24" i="7"/>
  <c r="O23" i="7"/>
  <c r="L23" i="7"/>
  <c r="O22" i="7"/>
  <c r="L22" i="7"/>
  <c r="O21" i="7"/>
  <c r="L21" i="7"/>
  <c r="L20" i="7"/>
  <c r="O12" i="7"/>
  <c r="O13" i="7"/>
  <c r="O14" i="7"/>
  <c r="O15" i="7"/>
  <c r="O11" i="7"/>
  <c r="L15" i="7"/>
  <c r="L14" i="7"/>
  <c r="L13" i="7"/>
  <c r="D15" i="7"/>
  <c r="D16" i="7"/>
  <c r="F16" i="7" s="1"/>
  <c r="I16" i="7" s="1"/>
  <c r="D17" i="7"/>
  <c r="F17" i="7" s="1"/>
  <c r="I17" i="7" s="1"/>
  <c r="D18" i="7"/>
  <c r="F18" i="7" s="1"/>
  <c r="I18" i="7" s="1"/>
  <c r="D19" i="7"/>
  <c r="F19" i="7" s="1"/>
  <c r="I19" i="7" s="1"/>
  <c r="D20" i="7"/>
  <c r="F20" i="7" s="1"/>
  <c r="I20" i="7" s="1"/>
  <c r="D22" i="7"/>
  <c r="F22" i="7" s="1"/>
  <c r="I22" i="7" s="1"/>
  <c r="D21" i="7"/>
  <c r="F21" i="7" s="1"/>
  <c r="I21" i="7" s="1"/>
  <c r="D23" i="7"/>
  <c r="F23" i="7" s="1"/>
  <c r="I23" i="7" s="1"/>
  <c r="D5" i="10"/>
  <c r="B5" i="10"/>
  <c r="B6" i="10"/>
  <c r="B4" i="10"/>
  <c r="D6" i="10" l="1"/>
  <c r="H28" i="7" s="1"/>
  <c r="I15" i="7"/>
  <c r="O26" i="7"/>
  <c r="O27" i="7" s="1"/>
  <c r="O28" i="7" s="1"/>
  <c r="C6" i="10"/>
  <c r="I11" i="7" s="1"/>
  <c r="I35" i="7" l="1"/>
  <c r="I28" i="7"/>
  <c r="I32" i="7"/>
  <c r="I30" i="7"/>
  <c r="I31" i="7"/>
  <c r="I29" i="7"/>
  <c r="O34" i="7"/>
  <c r="O35" i="7" s="1"/>
  <c r="I33" i="7"/>
  <c r="I34" i="7"/>
  <c r="I36" i="7" l="1"/>
  <c r="C46" i="7" s="1"/>
  <c r="I24" i="7"/>
  <c r="C45" i="7" s="1"/>
  <c r="I37" i="7" l="1"/>
  <c r="I38" i="7" s="1"/>
  <c r="C47" i="7" s="1"/>
  <c r="I42" i="7" l="1"/>
</calcChain>
</file>

<file path=xl/sharedStrings.xml><?xml version="1.0" encoding="utf-8"?>
<sst xmlns="http://schemas.openxmlformats.org/spreadsheetml/2006/main" count="121" uniqueCount="78">
  <si>
    <t>Refrigerant and Oil Charge Calculation</t>
  </si>
  <si>
    <t>fill in blue cells</t>
  </si>
  <si>
    <t>114X6003 : OP-UPAC015COP04E</t>
  </si>
  <si>
    <t xml:space="preserve">Refrigerant charge </t>
  </si>
  <si>
    <t>Oil charge addition</t>
  </si>
  <si>
    <t>Pipe inventory that connect the last evaporator of  group 1</t>
  </si>
  <si>
    <t>Refrigerant Charge</t>
  </si>
  <si>
    <t>Suction pipe diam</t>
  </si>
  <si>
    <t>Length</t>
  </si>
  <si>
    <t>Oil addition</t>
  </si>
  <si>
    <t>kg</t>
  </si>
  <si>
    <t>inches</t>
  </si>
  <si>
    <t>mm</t>
  </si>
  <si>
    <t>m</t>
  </si>
  <si>
    <t>cc/m</t>
  </si>
  <si>
    <t>cc</t>
  </si>
  <si>
    <t>3/4''</t>
  </si>
  <si>
    <t>5/8''</t>
  </si>
  <si>
    <t>Liquid Line Diam</t>
  </si>
  <si>
    <t>pipe thickness</t>
  </si>
  <si>
    <t>Internal volume</t>
  </si>
  <si>
    <t>Liquid Line Length</t>
  </si>
  <si>
    <t>Average density</t>
  </si>
  <si>
    <t>1/2''</t>
  </si>
  <si>
    <t>L/m</t>
  </si>
  <si>
    <t>kg/L</t>
  </si>
  <si>
    <t>3/8''</t>
  </si>
  <si>
    <t>1/4''</t>
  </si>
  <si>
    <t>Pipe inventory that connect the last evaporator of group  2</t>
  </si>
  <si>
    <t>Suction pip</t>
  </si>
  <si>
    <t>Total Liquid Line Charge</t>
  </si>
  <si>
    <t>Evaporator (max 8 Evaporators)</t>
  </si>
  <si>
    <t>Evaporating Temperature</t>
  </si>
  <si>
    <t>Id</t>
  </si>
  <si>
    <t>L</t>
  </si>
  <si>
    <t>degC</t>
  </si>
  <si>
    <t>equivalent 3/4'' Length</t>
  </si>
  <si>
    <t>Max Oil addition</t>
  </si>
  <si>
    <t>If calculation is less than 640 cc, it is not necessary to add oil.</t>
  </si>
  <si>
    <t>Oil to add to system</t>
  </si>
  <si>
    <t>Total charge required by evaporator</t>
  </si>
  <si>
    <t xml:space="preserve">Equivalent pipe 1/2'' length </t>
  </si>
  <si>
    <t>System Charge Lmit</t>
  </si>
  <si>
    <t xml:space="preserve">For evaporating Temperatures  between </t>
  </si>
  <si>
    <t>Range of evaporating temperature</t>
  </si>
  <si>
    <t>Minimum capacity allowed</t>
  </si>
  <si>
    <t>From -35 to -45°C</t>
  </si>
  <si>
    <t>1,9 kW</t>
  </si>
  <si>
    <t>From -20 to -34°C</t>
  </si>
  <si>
    <t>3,0 kW</t>
  </si>
  <si>
    <t>From -5 to -19°C</t>
  </si>
  <si>
    <t>4,1 kW</t>
  </si>
  <si>
    <t>5,1 kW</t>
  </si>
  <si>
    <r>
      <rPr>
        <b/>
        <i/>
        <sz val="11"/>
        <color rgb="FFFF0000"/>
        <rFont val="Calibri"/>
        <family val="2"/>
        <scheme val="minor"/>
      </rPr>
      <t xml:space="preserve">WARNING : </t>
    </r>
    <r>
      <rPr>
        <b/>
        <i/>
        <sz val="11"/>
        <color theme="1"/>
        <rFont val="Calibri"/>
        <family val="2"/>
        <scheme val="minor"/>
      </rPr>
      <t xml:space="preserve"> </t>
    </r>
    <r>
      <rPr>
        <i/>
        <sz val="11"/>
        <color theme="1"/>
        <rFont val="Calibri"/>
        <family val="2"/>
        <scheme val="minor"/>
      </rPr>
      <t>During the minimal running configuration,  (At compressor lowest speed), you can use defrost time or modulating thermostat control.</t>
    </r>
  </si>
  <si>
    <t xml:space="preserve">Legal Disclaimer </t>
  </si>
  <si>
    <t>CDU charge</t>
  </si>
  <si>
    <t>evap charge</t>
  </si>
  <si>
    <t>Condensing Unit Baseline Charge</t>
  </si>
  <si>
    <t>Total Oil addition</t>
  </si>
  <si>
    <t xml:space="preserve">System oil charge after addition </t>
  </si>
  <si>
    <r>
      <rPr>
        <b/>
        <sz val="11"/>
        <color theme="1"/>
        <rFont val="Calibri"/>
        <family val="2"/>
        <scheme val="minor"/>
      </rPr>
      <t>Total charge charge should never exceed the above limit</t>
    </r>
    <r>
      <rPr>
        <sz val="11"/>
        <color theme="1"/>
        <rFont val="Calibri"/>
        <family val="2"/>
        <scheme val="minor"/>
      </rPr>
      <t xml:space="preserve">. This is to protect the condensing unit of being overcharged. Overfilling the system may risk of liquid return to compressor through bypass valve when running. Overfilling the system may risk in pressure increase and release of refrigerant through the receiver relief valve during standstill. </t>
    </r>
  </si>
  <si>
    <t>From -45 to +5°C</t>
  </si>
  <si>
    <t>WARNING : Ensure that the minimum load demand coming from the cold rooms/display cabinets shall be greater than 50% of the cooling capacity of the condensing unit at lowest speed.</t>
  </si>
  <si>
    <t>Warning(s):</t>
  </si>
  <si>
    <t>Check list needs to be done to validate Danfoss warranty at the time of commissioning</t>
  </si>
  <si>
    <t>Ensure all parts of the circuit have enough fluid velocity to ensure oil return to the compressor on all operating conditions.</t>
  </si>
  <si>
    <t>If total internal evaporator volume is more than 27L, Danfoss must be contacted to get final validation.</t>
  </si>
  <si>
    <t>Do not leave the system running if oil return has not been detected and confirmed within one hour (1h).(look inside guideline or instruction manual)</t>
  </si>
  <si>
    <t>Failure to follow the refrigerant and oil charging procedure will invalidate the warranty.</t>
  </si>
  <si>
    <t>Have the unit installed by your agent or specialized contractor. Electrical work needs to be done by a qualified electrical work contractor. Improper installation made by yourself may cause electric shock or fire.</t>
  </si>
  <si>
    <t>The unit must be loaded in accordance with the rules of art.</t>
  </si>
  <si>
    <t xml:space="preserve">During commissioning, do not run the unit undercharged (80% of charge calculated) for more than 10 minutes, you may have the risk to reach a very high discharge temperature and to limit the reliability of the compressor. </t>
  </si>
  <si>
    <t>Danfoss might change this file without further notice depending on its customer experience</t>
  </si>
  <si>
    <t>Total system Charge = CDU Baseline Charge + Liquid Line + Evaporator charge</t>
  </si>
  <si>
    <t>These calculation tools are based on theoritical facts and may vary from field installation.</t>
  </si>
  <si>
    <t>Ex.: on low temperature application, if minimum load  is 2,81kW (At compressor lowest speed 30%), then minimum demand from cold rooms/display cabinets should be maintain around 1.4kW.</t>
  </si>
  <si>
    <t>2024.03.08</t>
  </si>
  <si>
    <t>version 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</si>
</sst>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font>
      <sz val="11"/>
      <color theme="1"/>
      <name val="Calibri"/>
      <family val="2"/>
      <charset val="128"/>
      <scheme val="minor"/>
    </font>
    <font>
      <sz val="11"/>
      <color theme="1"/>
      <name val="Calibri Light"/>
      <family val="2"/>
      <scheme val="major"/>
    </font>
    <font>
      <sz val="11"/>
      <color theme="1"/>
      <name val="Calibri"/>
      <family val="2"/>
      <scheme val="minor"/>
    </font>
    <font>
      <b/>
      <sz val="11"/>
      <color theme="1"/>
      <name val="Calibri"/>
      <family val="2"/>
      <scheme val="minor"/>
    </font>
    <font>
      <sz val="8"/>
      <color theme="1"/>
      <name val="Calibri"/>
      <family val="2"/>
      <scheme val="minor"/>
    </font>
    <font>
      <sz val="22"/>
      <color theme="1"/>
      <name val="Calibri"/>
      <family val="2"/>
      <scheme val="minor"/>
    </font>
    <font>
      <b/>
      <u/>
      <sz val="11"/>
      <color theme="1"/>
      <name val="Calibri"/>
      <family val="2"/>
      <scheme val="minor"/>
    </font>
    <font>
      <b/>
      <sz val="11"/>
      <color rgb="FFFF0000"/>
      <name val="Calibri"/>
      <family val="2"/>
      <scheme val="minor"/>
    </font>
    <font>
      <b/>
      <i/>
      <sz val="11"/>
      <color rgb="FFFF0000"/>
      <name val="Calibri"/>
      <family val="2"/>
      <scheme val="minor"/>
    </font>
    <font>
      <b/>
      <u/>
      <sz val="20"/>
      <color theme="1"/>
      <name val="Calibri"/>
      <family val="2"/>
      <scheme val="minor"/>
    </font>
    <font>
      <b/>
      <sz val="16"/>
      <color theme="1"/>
      <name val="Calibri"/>
      <family val="2"/>
      <scheme val="minor"/>
    </font>
    <font>
      <sz val="10"/>
      <color theme="1"/>
      <name val="Calibri"/>
      <family val="2"/>
      <scheme val="minor"/>
    </font>
    <font>
      <sz val="11"/>
      <color rgb="FFFF0000"/>
      <name val="Calibri"/>
      <family val="2"/>
      <scheme val="minor"/>
    </font>
    <font>
      <b/>
      <sz val="11"/>
      <name val="Calibri"/>
      <family val="2"/>
      <scheme val="minor"/>
    </font>
    <font>
      <b/>
      <i/>
      <sz val="11"/>
      <name val="Calibri"/>
      <family val="2"/>
      <scheme val="minor"/>
    </font>
    <font>
      <i/>
      <sz val="11"/>
      <color theme="1"/>
      <name val="Calibri"/>
      <family val="2"/>
      <scheme val="minor"/>
    </font>
    <font>
      <b/>
      <i/>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indexed="64"/>
      </right>
      <top/>
      <bottom/>
      <diagonal/>
    </border>
  </borders>
  <cellStyleXfs count="1">
    <xf numFmtId="0" fontId="0" fillId="0" borderId="0">
      <alignment vertical="center"/>
    </xf>
  </cellStyleXfs>
  <cellXfs count="167">
    <xf numFmtId="0" fontId="0" fillId="0" borderId="0" xfId="0">
      <alignment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1" fillId="3" borderId="1" xfId="0" applyFont="1" applyFill="1" applyBorder="1" applyAlignment="1">
      <alignment horizontal="center" vertical="center" wrapText="1"/>
    </xf>
    <xf numFmtId="2"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2" fillId="0" borderId="0" xfId="0" applyFont="1">
      <alignment vertical="center"/>
    </xf>
    <xf numFmtId="0" fontId="2" fillId="0" borderId="10" xfId="0" applyFont="1" applyBorder="1">
      <alignment vertical="center"/>
    </xf>
    <xf numFmtId="0" fontId="3" fillId="0" borderId="11"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9" xfId="0" applyFont="1" applyBorder="1">
      <alignment vertical="center"/>
    </xf>
    <xf numFmtId="0" fontId="4" fillId="0" borderId="0" xfId="0" applyFont="1">
      <alignment vertical="center"/>
    </xf>
    <xf numFmtId="0" fontId="5" fillId="0" borderId="0" xfId="0" applyFont="1">
      <alignment vertical="center"/>
    </xf>
    <xf numFmtId="0" fontId="2" fillId="2" borderId="0" xfId="0" applyFont="1" applyFill="1">
      <alignment vertical="center"/>
    </xf>
    <xf numFmtId="0" fontId="2" fillId="0" borderId="13" xfId="0" applyFont="1" applyBorder="1">
      <alignment vertical="center"/>
    </xf>
    <xf numFmtId="0" fontId="6" fillId="0" borderId="0" xfId="0" applyFo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0" xfId="0" applyFont="1" applyAlignment="1">
      <alignment vertical="center" wrapText="1"/>
    </xf>
    <xf numFmtId="0" fontId="2" fillId="0" borderId="13" xfId="0" applyFont="1" applyBorder="1" applyAlignment="1">
      <alignment vertical="center" wrapText="1"/>
    </xf>
    <xf numFmtId="0" fontId="2" fillId="0" borderId="1" xfId="0" quotePrefix="1" applyFont="1" applyBorder="1" applyAlignment="1">
      <alignment horizontal="center" vertical="center"/>
    </xf>
    <xf numFmtId="2" fontId="2" fillId="0" borderId="1" xfId="0" quotePrefix="1"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164" fontId="2" fillId="0" borderId="1" xfId="0" quotePrefix="1" applyNumberFormat="1" applyFont="1" applyBorder="1" applyAlignment="1">
      <alignment horizontal="center" vertical="center"/>
    </xf>
    <xf numFmtId="165" fontId="2" fillId="0" borderId="1" xfId="0" applyNumberFormat="1"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3" fillId="0" borderId="0" xfId="0" quotePrefix="1" applyFont="1" applyAlignment="1">
      <alignment horizontal="left" vertical="top" indent="2"/>
    </xf>
    <xf numFmtId="0" fontId="2" fillId="0" borderId="0" xfId="0" quotePrefix="1" applyFont="1" applyAlignment="1">
      <alignment horizontal="left" vertical="center" indent="2"/>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0" fontId="2" fillId="5" borderId="0" xfId="0" applyFont="1" applyFill="1" applyAlignment="1">
      <alignment horizontal="left" vertical="center"/>
    </xf>
    <xf numFmtId="0" fontId="2" fillId="5" borderId="0" xfId="0" applyFont="1" applyFill="1" applyAlignment="1">
      <alignment horizontal="center" vertical="center"/>
    </xf>
    <xf numFmtId="0" fontId="2" fillId="0" borderId="2" xfId="0" quotePrefix="1" applyFont="1" applyBorder="1" applyAlignment="1">
      <alignment horizontal="left" vertical="center"/>
    </xf>
    <xf numFmtId="0" fontId="2" fillId="0" borderId="3" xfId="0" quotePrefix="1" applyFont="1" applyBorder="1" applyAlignment="1">
      <alignment horizontal="left" vertical="center"/>
    </xf>
    <xf numFmtId="0" fontId="2" fillId="0" borderId="4" xfId="0" quotePrefix="1" applyFont="1" applyBorder="1" applyAlignment="1">
      <alignment horizontal="left" vertical="center"/>
    </xf>
    <xf numFmtId="0" fontId="2" fillId="3" borderId="4" xfId="0" quotePrefix="1" applyFont="1" applyFill="1" applyBorder="1" applyAlignment="1">
      <alignment horizontal="center" vertical="center"/>
    </xf>
    <xf numFmtId="0" fontId="2" fillId="0" borderId="3" xfId="0" quotePrefix="1" applyFont="1" applyBorder="1" applyAlignment="1">
      <alignment horizontal="left" vertical="top" indent="2"/>
    </xf>
    <xf numFmtId="0" fontId="2" fillId="0" borderId="3" xfId="0" quotePrefix="1" applyFont="1" applyBorder="1" applyAlignment="1">
      <alignment horizontal="left" vertical="center" indent="2"/>
    </xf>
    <xf numFmtId="0" fontId="2" fillId="0" borderId="4" xfId="0" quotePrefix="1" applyFont="1" applyBorder="1" applyAlignment="1">
      <alignment horizontal="left" vertical="center" indent="2"/>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8" fillId="0" borderId="0" xfId="0" applyFont="1" applyAlignment="1">
      <alignment vertical="top"/>
    </xf>
    <xf numFmtId="0" fontId="3" fillId="0" borderId="0" xfId="0" applyFont="1">
      <alignment vertical="center"/>
    </xf>
    <xf numFmtId="2" fontId="3" fillId="6" borderId="1" xfId="0" applyNumberFormat="1" applyFont="1" applyFill="1" applyBorder="1" applyAlignment="1">
      <alignment horizontal="center" vertical="center"/>
    </xf>
    <xf numFmtId="0" fontId="3" fillId="6" borderId="2" xfId="0" applyFont="1" applyFill="1" applyBorder="1">
      <alignment vertical="center"/>
    </xf>
    <xf numFmtId="0" fontId="3" fillId="6" borderId="3" xfId="0" applyFont="1" applyFill="1" applyBorder="1">
      <alignment vertical="center"/>
    </xf>
    <xf numFmtId="0" fontId="3" fillId="0" borderId="9" xfId="0" applyFont="1" applyBorder="1">
      <alignment vertical="center"/>
    </xf>
    <xf numFmtId="0" fontId="3" fillId="3" borderId="2" xfId="0" applyFont="1" applyFill="1" applyBorder="1" applyAlignment="1">
      <alignment vertical="center" wrapText="1"/>
    </xf>
    <xf numFmtId="0" fontId="3" fillId="3" borderId="4" xfId="0" applyFont="1" applyFill="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8" fillId="5" borderId="0" xfId="0" applyFont="1" applyFill="1" applyAlignment="1">
      <alignment vertical="top"/>
    </xf>
    <xf numFmtId="0" fontId="2" fillId="5" borderId="0" xfId="0" applyFont="1" applyFill="1">
      <alignment vertical="center"/>
    </xf>
    <xf numFmtId="0" fontId="12" fillId="0" borderId="0" xfId="0" applyFont="1">
      <alignment vertical="center"/>
    </xf>
    <xf numFmtId="0" fontId="2" fillId="5" borderId="13" xfId="0" applyFont="1" applyFill="1" applyBorder="1">
      <alignment vertical="center"/>
    </xf>
    <xf numFmtId="0" fontId="3" fillId="5" borderId="0" xfId="0" applyFont="1" applyFill="1" applyAlignment="1">
      <alignment horizontal="left" vertical="center"/>
    </xf>
    <xf numFmtId="0" fontId="3" fillId="5" borderId="0" xfId="0" applyFont="1" applyFill="1" applyAlignment="1">
      <alignment horizontal="center" vertical="center"/>
    </xf>
    <xf numFmtId="2" fontId="3" fillId="5" borderId="0" xfId="0" applyNumberFormat="1" applyFont="1" applyFill="1" applyAlignment="1">
      <alignment horizontal="center" vertical="center"/>
    </xf>
    <xf numFmtId="0" fontId="14" fillId="0" borderId="1" xfId="0" quotePrefix="1" applyFont="1" applyBorder="1" applyAlignment="1">
      <alignment horizontal="center"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6"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14" fillId="0" borderId="0" xfId="0" quotePrefix="1" applyFont="1" applyAlignment="1">
      <alignment horizontal="center" vertical="center"/>
    </xf>
    <xf numFmtId="0" fontId="15" fillId="0" borderId="0" xfId="0" applyFont="1" applyAlignment="1">
      <alignment horizontal="center" vertical="center" wrapText="1"/>
    </xf>
    <xf numFmtId="0" fontId="11" fillId="5" borderId="0" xfId="0" applyFont="1" applyFill="1">
      <alignment vertical="center"/>
    </xf>
    <xf numFmtId="0" fontId="3" fillId="4" borderId="17" xfId="0" applyFont="1" applyFill="1" applyBorder="1" applyAlignment="1">
      <alignment horizontal="center" vertical="center"/>
    </xf>
    <xf numFmtId="0" fontId="8" fillId="0" borderId="22" xfId="0" applyFont="1" applyBorder="1" applyAlignment="1">
      <alignment vertical="top"/>
    </xf>
    <xf numFmtId="0" fontId="2" fillId="0" borderId="22" xfId="0" applyFont="1" applyBorder="1">
      <alignment vertical="center"/>
    </xf>
    <xf numFmtId="0" fontId="2" fillId="0" borderId="22" xfId="0" applyFont="1" applyBorder="1" applyAlignment="1">
      <alignment horizontal="center" vertical="top"/>
    </xf>
    <xf numFmtId="0" fontId="8" fillId="0" borderId="22" xfId="0" applyFont="1" applyBorder="1" applyAlignment="1">
      <alignment horizontal="center" vertical="top"/>
    </xf>
    <xf numFmtId="0" fontId="7" fillId="0" borderId="24" xfId="0" applyFont="1" applyBorder="1" applyAlignment="1">
      <alignment vertical="center" wrapText="1"/>
    </xf>
    <xf numFmtId="0" fontId="7" fillId="0" borderId="9" xfId="0" applyFont="1" applyBorder="1" applyAlignment="1">
      <alignment vertical="center" wrapText="1"/>
    </xf>
    <xf numFmtId="0" fontId="3" fillId="5" borderId="26" xfId="0" applyFont="1" applyFill="1" applyBorder="1" applyAlignment="1">
      <alignment horizontal="left" vertical="center"/>
    </xf>
    <xf numFmtId="0" fontId="3" fillId="5" borderId="26" xfId="0" applyFont="1" applyFill="1" applyBorder="1" applyAlignment="1">
      <alignment horizontal="center" vertical="center"/>
    </xf>
    <xf numFmtId="2" fontId="3" fillId="5" borderId="27" xfId="0" applyNumberFormat="1" applyFont="1" applyFill="1" applyBorder="1" applyAlignment="1">
      <alignment horizontal="center" vertical="center"/>
    </xf>
    <xf numFmtId="2" fontId="3" fillId="5" borderId="29" xfId="0" applyNumberFormat="1" applyFont="1" applyFill="1" applyBorder="1" applyAlignment="1">
      <alignment horizontal="center" vertical="center"/>
    </xf>
    <xf numFmtId="0" fontId="2" fillId="5" borderId="31" xfId="0" applyFont="1" applyFill="1" applyBorder="1">
      <alignment vertical="center"/>
    </xf>
    <xf numFmtId="0" fontId="2" fillId="5" borderId="32" xfId="0" applyFont="1" applyFill="1" applyBorder="1">
      <alignment vertical="center"/>
    </xf>
    <xf numFmtId="0" fontId="7" fillId="5" borderId="25" xfId="0" applyFont="1" applyFill="1" applyBorder="1" applyAlignment="1">
      <alignment horizontal="left" vertical="center"/>
    </xf>
    <xf numFmtId="0" fontId="7" fillId="5" borderId="28" xfId="0" applyFont="1" applyFill="1" applyBorder="1" applyAlignment="1">
      <alignment horizontal="left" vertical="center"/>
    </xf>
    <xf numFmtId="0" fontId="7" fillId="5" borderId="30" xfId="0" applyFont="1" applyFill="1" applyBorder="1">
      <alignment vertical="center"/>
    </xf>
    <xf numFmtId="0" fontId="2" fillId="5" borderId="0" xfId="0" applyFont="1" applyFill="1" applyAlignment="1">
      <alignment horizontal="center" vertical="center" wrapText="1"/>
    </xf>
    <xf numFmtId="0" fontId="15" fillId="0" borderId="0" xfId="0" applyFont="1" applyAlignment="1">
      <alignment horizontal="center" vertical="center" wrapText="1"/>
    </xf>
    <xf numFmtId="0" fontId="11" fillId="0" borderId="0" xfId="0" applyFont="1" applyAlignment="1">
      <alignment horizontal="center" vertical="center" wrapText="1"/>
    </xf>
    <xf numFmtId="0" fontId="7" fillId="0" borderId="0" xfId="0" applyFont="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33"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0" borderId="0" xfId="0" applyFont="1" applyAlignment="1">
      <alignment horizontal="left" vertical="top" wrapText="1"/>
    </xf>
    <xf numFmtId="0" fontId="13" fillId="0" borderId="0" xfId="0" applyFont="1" applyAlignment="1">
      <alignment horizontal="center" vertical="center" wrapText="1"/>
    </xf>
    <xf numFmtId="0" fontId="3" fillId="0" borderId="0" xfId="0" applyFont="1" applyAlignment="1">
      <alignment horizontal="center" vertical="center"/>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21" xfId="0" applyFont="1" applyFill="1" applyBorder="1" applyAlignment="1">
      <alignment horizontal="center" vertical="center" wrapText="1"/>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13"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9" fillId="0" borderId="0" xfId="0" applyFont="1" applyAlignment="1">
      <alignment horizontal="center" vertical="center"/>
    </xf>
    <xf numFmtId="0" fontId="9" fillId="0" borderId="13" xfId="0" applyFont="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1"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5" borderId="2" xfId="0" applyFont="1" applyFill="1" applyBorder="1" applyAlignment="1">
      <alignment horizontal="lef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8" borderId="2" xfId="0" applyFont="1" applyFill="1" applyBorder="1" applyAlignment="1">
      <alignment horizontal="right" vertical="center"/>
    </xf>
    <xf numFmtId="0" fontId="2" fillId="8" borderId="3" xfId="0" applyFont="1" applyFill="1" applyBorder="1" applyAlignment="1">
      <alignment horizontal="right" vertical="center"/>
    </xf>
    <xf numFmtId="0" fontId="2" fillId="8" borderId="4" xfId="0" applyFont="1" applyFill="1" applyBorder="1" applyAlignment="1">
      <alignment horizontal="right" vertical="center"/>
    </xf>
    <xf numFmtId="0" fontId="3" fillId="4" borderId="17" xfId="0" applyFont="1" applyFill="1" applyBorder="1" applyAlignment="1">
      <alignment horizontal="left" vertical="center"/>
    </xf>
    <xf numFmtId="0" fontId="10" fillId="0" borderId="0" xfId="0" applyFont="1" applyAlignment="1">
      <alignment horizontal="center" vertical="center"/>
    </xf>
    <xf numFmtId="0" fontId="7" fillId="5" borderId="28" xfId="0" applyFont="1" applyFill="1" applyBorder="1" applyAlignment="1">
      <alignment horizontal="left" vertical="top" wrapText="1"/>
    </xf>
    <xf numFmtId="0" fontId="7" fillId="5" borderId="0" xfId="0" applyFont="1" applyFill="1" applyAlignment="1">
      <alignment horizontal="left" vertical="top" wrapText="1"/>
    </xf>
    <xf numFmtId="0" fontId="7" fillId="5" borderId="29" xfId="0" applyFont="1" applyFill="1" applyBorder="1" applyAlignment="1">
      <alignment horizontal="left" vertical="top" wrapText="1"/>
    </xf>
    <xf numFmtId="0" fontId="3" fillId="6" borderId="2" xfId="0" quotePrefix="1" applyFont="1" applyFill="1" applyBorder="1" applyAlignment="1">
      <alignment horizontal="left" vertical="center"/>
    </xf>
    <xf numFmtId="0" fontId="3" fillId="6" borderId="3" xfId="0" quotePrefix="1" applyFont="1" applyFill="1" applyBorder="1" applyAlignment="1">
      <alignment horizontal="left" vertical="center"/>
    </xf>
    <xf numFmtId="0" fontId="3" fillId="6" borderId="4" xfId="0" quotePrefix="1" applyFont="1" applyFill="1" applyBorder="1" applyAlignment="1">
      <alignment horizontal="left" vertical="center"/>
    </xf>
    <xf numFmtId="0" fontId="2" fillId="0" borderId="1" xfId="0" applyFont="1" applyBorder="1" applyAlignment="1">
      <alignment horizontal="left" vertical="top" wrapText="1"/>
    </xf>
    <xf numFmtId="0" fontId="3" fillId="6" borderId="1" xfId="0" applyFont="1" applyFill="1" applyBorder="1" applyAlignment="1">
      <alignment horizontal="left" vertical="center"/>
    </xf>
    <xf numFmtId="0" fontId="2" fillId="7" borderId="17" xfId="0" applyFont="1" applyFill="1" applyBorder="1" applyAlignment="1" applyProtection="1">
      <alignment horizontal="center" vertical="center"/>
      <protection locked="0"/>
    </xf>
    <xf numFmtId="0" fontId="2" fillId="7" borderId="18" xfId="0" applyFont="1" applyFill="1" applyBorder="1" applyAlignment="1" applyProtection="1">
      <alignment horizontal="center" vertical="center"/>
      <protection locked="0"/>
    </xf>
    <xf numFmtId="0" fontId="2" fillId="7" borderId="19" xfId="0" applyFont="1" applyFill="1" applyBorder="1" applyAlignment="1" applyProtection="1">
      <alignment horizontal="center" vertical="center"/>
      <protection locked="0"/>
    </xf>
    <xf numFmtId="2" fontId="2" fillId="7" borderId="17" xfId="0" applyNumberFormat="1" applyFont="1" applyFill="1" applyBorder="1" applyAlignment="1">
      <alignment horizontal="center" vertical="center"/>
    </xf>
    <xf numFmtId="2" fontId="2" fillId="7" borderId="18" xfId="0" applyNumberFormat="1" applyFont="1" applyFill="1" applyBorder="1" applyAlignment="1">
      <alignment horizontal="center" vertical="center"/>
    </xf>
    <xf numFmtId="2" fontId="2" fillId="7" borderId="19"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wrapText="1"/>
    </xf>
  </cellXfs>
  <cellStyles count="1">
    <cellStyle name="Normal" xfId="0" builtinId="0"/>
  </cellStyles>
  <dxfs count="1">
    <dxf>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545453</xdr:colOff>
      <xdr:row>1</xdr:row>
      <xdr:rowOff>104774</xdr:rowOff>
    </xdr:from>
    <xdr:to>
      <xdr:col>15</xdr:col>
      <xdr:colOff>98841</xdr:colOff>
      <xdr:row>5</xdr:row>
      <xdr:rowOff>53340</xdr:rowOff>
    </xdr:to>
    <xdr:pic>
      <xdr:nvPicPr>
        <xdr:cNvPr id="4" name="Picture 3">
          <a:extLst>
            <a:ext uri="{FF2B5EF4-FFF2-40B4-BE49-F238E27FC236}">
              <a16:creationId xmlns:a16="http://schemas.microsoft.com/office/drawing/2014/main" id="{CEA376A3-A1BA-57D8-E875-BC230CC75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51678" y="247649"/>
          <a:ext cx="2174668" cy="8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1D22-D8AB-4236-A52A-97739B9B7FE6}">
  <sheetPr>
    <pageSetUpPr fitToPage="1"/>
  </sheetPr>
  <dimension ref="A1:AC68"/>
  <sheetViews>
    <sheetView showGridLines="0" tabSelected="1" zoomScaleNormal="100" workbookViewId="0">
      <selection activeCell="R17" sqref="R17"/>
    </sheetView>
  </sheetViews>
  <sheetFormatPr defaultColWidth="9.140625" defaultRowHeight="15"/>
  <cols>
    <col min="1" max="1" width="2.42578125" style="6" customWidth="1"/>
    <col min="2" max="2" width="2.5703125" style="6" customWidth="1"/>
    <col min="3" max="4" width="11.42578125" style="6" customWidth="1"/>
    <col min="5" max="6" width="15.42578125" style="6" customWidth="1"/>
    <col min="7" max="7" width="19.42578125" style="6" customWidth="1"/>
    <col min="8" max="8" width="17.42578125" style="6" customWidth="1"/>
    <col min="9" max="9" width="20.140625" style="6" customWidth="1"/>
    <col min="10" max="10" width="5.140625" style="6" customWidth="1"/>
    <col min="11" max="11" width="21.42578125" style="6" customWidth="1"/>
    <col min="12" max="12" width="14.42578125" style="6" customWidth="1"/>
    <col min="13" max="15" width="19.42578125" style="6" customWidth="1"/>
    <col min="16" max="16" width="6.140625" style="6" customWidth="1"/>
    <col min="17" max="16384" width="9.140625" style="6"/>
  </cols>
  <sheetData>
    <row r="1" spans="2:18" ht="11.25" customHeight="1" thickBot="1"/>
    <row r="2" spans="2:18">
      <c r="B2" s="7"/>
      <c r="C2" s="8"/>
      <c r="D2" s="8"/>
      <c r="E2" s="8"/>
      <c r="F2" s="9"/>
      <c r="G2" s="9"/>
      <c r="H2" s="9"/>
      <c r="I2" s="9"/>
      <c r="J2" s="9"/>
      <c r="K2" s="9"/>
      <c r="L2" s="9"/>
      <c r="M2" s="9"/>
      <c r="N2" s="9"/>
      <c r="O2" s="9"/>
      <c r="P2" s="10"/>
    </row>
    <row r="3" spans="2:18">
      <c r="B3" s="11"/>
      <c r="C3" s="49"/>
      <c r="D3" s="49"/>
      <c r="E3" s="49"/>
      <c r="P3" s="15"/>
    </row>
    <row r="4" spans="2:18" ht="26.25" customHeight="1">
      <c r="B4" s="11"/>
      <c r="C4" s="122" t="s">
        <v>0</v>
      </c>
      <c r="D4" s="122"/>
      <c r="E4" s="122"/>
      <c r="F4" s="122"/>
      <c r="G4" s="122"/>
      <c r="H4" s="122"/>
      <c r="I4" s="122"/>
      <c r="J4" s="122"/>
      <c r="K4" s="122"/>
      <c r="L4" s="122"/>
      <c r="M4" s="122"/>
      <c r="N4" s="122"/>
      <c r="O4" s="122"/>
      <c r="P4" s="123"/>
    </row>
    <row r="5" spans="2:18" ht="18.600000000000001" customHeight="1">
      <c r="B5" s="11"/>
      <c r="C5" s="6" t="s">
        <v>77</v>
      </c>
      <c r="D5" s="13"/>
      <c r="E5" s="14" t="s">
        <v>1</v>
      </c>
      <c r="H5" s="148" t="s">
        <v>2</v>
      </c>
      <c r="I5" s="148"/>
      <c r="J5" s="148"/>
      <c r="K5" s="148"/>
      <c r="L5" s="148"/>
      <c r="P5" s="15"/>
    </row>
    <row r="6" spans="2:18" ht="18.600000000000001" customHeight="1">
      <c r="B6" s="11"/>
      <c r="C6" s="6" t="s">
        <v>76</v>
      </c>
      <c r="D6" s="12"/>
      <c r="E6" s="12"/>
      <c r="P6" s="15"/>
      <c r="R6"/>
    </row>
    <row r="7" spans="2:18" ht="18.600000000000001" customHeight="1">
      <c r="B7" s="11"/>
      <c r="C7" s="16" t="s">
        <v>3</v>
      </c>
      <c r="K7" s="16" t="s">
        <v>4</v>
      </c>
      <c r="N7" s="60"/>
      <c r="O7" s="60"/>
      <c r="P7" s="15"/>
    </row>
    <row r="8" spans="2:18" ht="18.600000000000001" customHeight="1">
      <c r="B8" s="11"/>
      <c r="K8" s="6" t="s">
        <v>5</v>
      </c>
      <c r="P8" s="15"/>
    </row>
    <row r="9" spans="2:18" ht="18.600000000000001" customHeight="1">
      <c r="B9" s="11"/>
      <c r="C9" s="124"/>
      <c r="D9" s="125"/>
      <c r="E9" s="125"/>
      <c r="F9" s="125"/>
      <c r="G9" s="125"/>
      <c r="H9" s="126"/>
      <c r="I9" s="17" t="s">
        <v>6</v>
      </c>
      <c r="K9" s="66" t="s">
        <v>7</v>
      </c>
      <c r="L9" s="67"/>
      <c r="M9" s="56" t="s">
        <v>8</v>
      </c>
      <c r="N9" s="57" t="s">
        <v>9</v>
      </c>
      <c r="O9" s="57" t="s">
        <v>9</v>
      </c>
      <c r="P9" s="15"/>
      <c r="Q9" s="19"/>
    </row>
    <row r="10" spans="2:18" ht="18.600000000000001" customHeight="1">
      <c r="B10" s="11"/>
      <c r="C10" s="127"/>
      <c r="D10" s="128"/>
      <c r="E10" s="128"/>
      <c r="F10" s="128"/>
      <c r="G10" s="128"/>
      <c r="H10" s="129"/>
      <c r="I10" s="18" t="s">
        <v>10</v>
      </c>
      <c r="K10" s="57" t="s">
        <v>11</v>
      </c>
      <c r="L10" s="57" t="s">
        <v>12</v>
      </c>
      <c r="M10" s="56" t="s">
        <v>13</v>
      </c>
      <c r="N10" s="57" t="s">
        <v>14</v>
      </c>
      <c r="O10" s="57" t="s">
        <v>15</v>
      </c>
      <c r="P10" s="20"/>
      <c r="Q10" s="19"/>
    </row>
    <row r="11" spans="2:18" ht="18.600000000000001" customHeight="1">
      <c r="B11" s="11"/>
      <c r="C11" s="51" t="s">
        <v>57</v>
      </c>
      <c r="D11" s="52"/>
      <c r="E11" s="52"/>
      <c r="F11" s="52"/>
      <c r="G11" s="52"/>
      <c r="H11" s="52"/>
      <c r="I11" s="70">
        <f>'evap CDU charge'!C6</f>
        <v>10.199999999999999</v>
      </c>
      <c r="K11" s="21" t="s">
        <v>16</v>
      </c>
      <c r="L11" s="22">
        <f>25.4*3/4</f>
        <v>19.049999999999997</v>
      </c>
      <c r="M11" s="30">
        <v>0</v>
      </c>
      <c r="N11" s="23">
        <v>16</v>
      </c>
      <c r="O11" s="23">
        <f>N11*M11</f>
        <v>0</v>
      </c>
      <c r="P11" s="20"/>
      <c r="Q11" s="19"/>
    </row>
    <row r="12" spans="2:18" ht="18.600000000000001" customHeight="1">
      <c r="B12" s="11"/>
      <c r="C12" s="24"/>
      <c r="D12" s="24"/>
      <c r="E12" s="24"/>
      <c r="F12" s="25"/>
      <c r="G12" s="25"/>
      <c r="H12" s="25"/>
      <c r="I12" s="26"/>
      <c r="J12" s="27"/>
      <c r="K12" s="21" t="s">
        <v>17</v>
      </c>
      <c r="L12" s="22">
        <f>25.4*5/8</f>
        <v>15.875</v>
      </c>
      <c r="M12" s="30">
        <v>0</v>
      </c>
      <c r="N12" s="23">
        <v>11</v>
      </c>
      <c r="O12" s="23">
        <f t="shared" ref="O12:O15" si="0">N12*M12</f>
        <v>0</v>
      </c>
      <c r="P12" s="20"/>
      <c r="Q12" s="19"/>
    </row>
    <row r="13" spans="2:18" ht="18.600000000000001" customHeight="1">
      <c r="B13" s="11"/>
      <c r="C13" s="136" t="s">
        <v>18</v>
      </c>
      <c r="D13" s="137"/>
      <c r="E13" s="57" t="s">
        <v>19</v>
      </c>
      <c r="F13" s="57" t="s">
        <v>20</v>
      </c>
      <c r="G13" s="57" t="s">
        <v>21</v>
      </c>
      <c r="H13" s="57" t="s">
        <v>22</v>
      </c>
      <c r="I13" s="57" t="s">
        <v>6</v>
      </c>
      <c r="J13" s="26"/>
      <c r="K13" s="21" t="s">
        <v>23</v>
      </c>
      <c r="L13" s="22">
        <f>25.4*0.5</f>
        <v>12.7</v>
      </c>
      <c r="M13" s="30">
        <v>0</v>
      </c>
      <c r="N13" s="23">
        <v>7</v>
      </c>
      <c r="O13" s="23">
        <f t="shared" si="0"/>
        <v>0</v>
      </c>
      <c r="P13" s="15"/>
    </row>
    <row r="14" spans="2:18" ht="18.600000000000001" customHeight="1">
      <c r="B14" s="11"/>
      <c r="C14" s="56" t="s">
        <v>11</v>
      </c>
      <c r="D14" s="56" t="s">
        <v>12</v>
      </c>
      <c r="E14" s="56" t="s">
        <v>12</v>
      </c>
      <c r="F14" s="56" t="s">
        <v>24</v>
      </c>
      <c r="G14" s="56" t="s">
        <v>13</v>
      </c>
      <c r="H14" s="56" t="s">
        <v>25</v>
      </c>
      <c r="I14" s="56" t="s">
        <v>10</v>
      </c>
      <c r="J14" s="26"/>
      <c r="K14" s="21" t="s">
        <v>26</v>
      </c>
      <c r="L14" s="22">
        <f>25.4*3/8</f>
        <v>9.5249999999999986</v>
      </c>
      <c r="M14" s="30">
        <v>0</v>
      </c>
      <c r="N14" s="23">
        <v>5</v>
      </c>
      <c r="O14" s="23">
        <f t="shared" si="0"/>
        <v>0</v>
      </c>
      <c r="P14" s="15"/>
    </row>
    <row r="15" spans="2:18" ht="18.600000000000001" customHeight="1">
      <c r="B15" s="11"/>
      <c r="C15" s="21" t="s">
        <v>16</v>
      </c>
      <c r="D15" s="22">
        <f>25.4*3/4</f>
        <v>19.049999999999997</v>
      </c>
      <c r="E15" s="28">
        <v>1.4</v>
      </c>
      <c r="F15" s="29">
        <f>PI()/4*((D15-2*E15)*0.001)^2*1000</f>
        <v>0.20739420252213861</v>
      </c>
      <c r="G15" s="30">
        <v>5</v>
      </c>
      <c r="H15" s="130">
        <v>1.085</v>
      </c>
      <c r="I15" s="29">
        <f>H$15*G15*F15</f>
        <v>1.1251135486826018</v>
      </c>
      <c r="J15" s="26"/>
      <c r="K15" s="21" t="s">
        <v>27</v>
      </c>
      <c r="L15" s="22">
        <f>25.4/4</f>
        <v>6.35</v>
      </c>
      <c r="M15" s="30">
        <v>0</v>
      </c>
      <c r="N15" s="23">
        <v>3</v>
      </c>
      <c r="O15" s="23">
        <f t="shared" si="0"/>
        <v>0</v>
      </c>
      <c r="P15" s="15"/>
    </row>
    <row r="16" spans="2:18" ht="18.600000000000001" customHeight="1">
      <c r="B16" s="11"/>
      <c r="C16" s="21" t="s">
        <v>17</v>
      </c>
      <c r="D16" s="22">
        <f>25.4*5/8</f>
        <v>15.875</v>
      </c>
      <c r="E16" s="28">
        <v>1.2</v>
      </c>
      <c r="F16" s="29">
        <f t="shared" ref="F16:F23" si="1">PI()/4*((D16-2*E16)*0.001)^2*1000</f>
        <v>0.14260916239274379</v>
      </c>
      <c r="G16" s="30">
        <v>5</v>
      </c>
      <c r="H16" s="131"/>
      <c r="I16" s="29">
        <f t="shared" ref="I16:I23" si="2">H$15*G16*F16</f>
        <v>0.77365470598063502</v>
      </c>
      <c r="J16" s="26"/>
      <c r="P16" s="15"/>
    </row>
    <row r="17" spans="2:16" ht="18.600000000000001" customHeight="1">
      <c r="B17" s="11"/>
      <c r="C17" s="21" t="s">
        <v>23</v>
      </c>
      <c r="D17" s="22">
        <f>25.4*0.5</f>
        <v>12.7</v>
      </c>
      <c r="E17" s="28">
        <v>1.2</v>
      </c>
      <c r="F17" s="29">
        <f t="shared" si="1"/>
        <v>8.3322891154835266E-2</v>
      </c>
      <c r="G17" s="30">
        <v>0</v>
      </c>
      <c r="H17" s="131"/>
      <c r="I17" s="29">
        <f t="shared" si="2"/>
        <v>0</v>
      </c>
      <c r="J17" s="26"/>
      <c r="K17" s="6" t="s">
        <v>28</v>
      </c>
      <c r="P17" s="15"/>
    </row>
    <row r="18" spans="2:16" ht="18.600000000000001" customHeight="1">
      <c r="B18" s="11"/>
      <c r="C18" s="21" t="s">
        <v>23</v>
      </c>
      <c r="D18" s="22">
        <f>25.4*0.5</f>
        <v>12.7</v>
      </c>
      <c r="E18" s="28">
        <v>1</v>
      </c>
      <c r="F18" s="29">
        <f t="shared" si="1"/>
        <v>8.9920235727373843E-2</v>
      </c>
      <c r="G18" s="30">
        <v>0</v>
      </c>
      <c r="H18" s="131"/>
      <c r="I18" s="29">
        <f t="shared" si="2"/>
        <v>0</v>
      </c>
      <c r="J18" s="26"/>
      <c r="K18" s="54" t="s">
        <v>29</v>
      </c>
      <c r="L18" s="55"/>
      <c r="M18" s="56" t="s">
        <v>8</v>
      </c>
      <c r="N18" s="57" t="s">
        <v>9</v>
      </c>
      <c r="O18" s="57" t="s">
        <v>9</v>
      </c>
      <c r="P18" s="15"/>
    </row>
    <row r="19" spans="2:16" ht="18.600000000000001" customHeight="1">
      <c r="B19" s="11"/>
      <c r="C19" s="21" t="s">
        <v>26</v>
      </c>
      <c r="D19" s="22">
        <f>25.4*3/8</f>
        <v>9.5249999999999986</v>
      </c>
      <c r="E19" s="28">
        <v>1</v>
      </c>
      <c r="F19" s="29">
        <f t="shared" si="1"/>
        <v>4.4473661876232619E-2</v>
      </c>
      <c r="G19" s="30">
        <v>0</v>
      </c>
      <c r="H19" s="131"/>
      <c r="I19" s="29">
        <f t="shared" si="2"/>
        <v>0</v>
      </c>
      <c r="J19" s="26"/>
      <c r="K19" s="57" t="s">
        <v>11</v>
      </c>
      <c r="L19" s="57" t="s">
        <v>12</v>
      </c>
      <c r="M19" s="56" t="s">
        <v>13</v>
      </c>
      <c r="N19" s="57" t="s">
        <v>14</v>
      </c>
      <c r="O19" s="57" t="s">
        <v>15</v>
      </c>
      <c r="P19" s="15"/>
    </row>
    <row r="20" spans="2:16" ht="18.600000000000001" customHeight="1">
      <c r="B20" s="11"/>
      <c r="C20" s="21" t="s">
        <v>26</v>
      </c>
      <c r="D20" s="22">
        <f>25.4*3/8</f>
        <v>9.5249999999999986</v>
      </c>
      <c r="E20" s="28">
        <v>0.8</v>
      </c>
      <c r="F20" s="29">
        <f t="shared" si="1"/>
        <v>4.9327422526028862E-2</v>
      </c>
      <c r="G20" s="30">
        <v>0</v>
      </c>
      <c r="H20" s="131"/>
      <c r="I20" s="29">
        <f t="shared" si="2"/>
        <v>0</v>
      </c>
      <c r="J20" s="26"/>
      <c r="K20" s="21" t="s">
        <v>16</v>
      </c>
      <c r="L20" s="22">
        <f>25.4*3/4</f>
        <v>19.049999999999997</v>
      </c>
      <c r="M20" s="30">
        <v>0</v>
      </c>
      <c r="N20" s="23">
        <v>16</v>
      </c>
      <c r="O20" s="23">
        <f>N20*M20</f>
        <v>0</v>
      </c>
      <c r="P20" s="15"/>
    </row>
    <row r="21" spans="2:16" ht="18.600000000000001" customHeight="1">
      <c r="B21" s="11"/>
      <c r="C21" s="21" t="s">
        <v>27</v>
      </c>
      <c r="D21" s="22">
        <f>25.4/4</f>
        <v>6.35</v>
      </c>
      <c r="E21" s="28">
        <v>1</v>
      </c>
      <c r="F21" s="29">
        <f t="shared" si="1"/>
        <v>1.4861696746888213E-2</v>
      </c>
      <c r="G21" s="30">
        <v>0</v>
      </c>
      <c r="H21" s="131"/>
      <c r="I21" s="29">
        <f t="shared" si="2"/>
        <v>0</v>
      </c>
      <c r="J21" s="26"/>
      <c r="K21" s="21" t="s">
        <v>17</v>
      </c>
      <c r="L21" s="22">
        <f>25.4*5/8</f>
        <v>15.875</v>
      </c>
      <c r="M21" s="30">
        <v>0</v>
      </c>
      <c r="N21" s="23">
        <v>11</v>
      </c>
      <c r="O21" s="23">
        <f t="shared" ref="O21:O24" si="3">N21*M21</f>
        <v>0</v>
      </c>
      <c r="P21" s="15"/>
    </row>
    <row r="22" spans="2:16" ht="18.600000000000001" customHeight="1">
      <c r="B22" s="11"/>
      <c r="C22" s="21" t="s">
        <v>27</v>
      </c>
      <c r="D22" s="22">
        <f>25.4/4</f>
        <v>6.35</v>
      </c>
      <c r="E22" s="28">
        <v>0.8</v>
      </c>
      <c r="F22" s="29">
        <f t="shared" si="1"/>
        <v>1.7720546061654924E-2</v>
      </c>
      <c r="G22" s="30">
        <v>0</v>
      </c>
      <c r="H22" s="131"/>
      <c r="I22" s="29">
        <f t="shared" si="2"/>
        <v>0</v>
      </c>
      <c r="J22" s="26"/>
      <c r="K22" s="21" t="s">
        <v>23</v>
      </c>
      <c r="L22" s="22">
        <f>25.4*0.5</f>
        <v>12.7</v>
      </c>
      <c r="M22" s="30">
        <v>0</v>
      </c>
      <c r="N22" s="23">
        <v>7</v>
      </c>
      <c r="O22" s="23">
        <f t="shared" si="3"/>
        <v>0</v>
      </c>
      <c r="P22" s="15"/>
    </row>
    <row r="23" spans="2:16" ht="18.600000000000001" customHeight="1">
      <c r="B23" s="11"/>
      <c r="C23" s="21" t="s">
        <v>27</v>
      </c>
      <c r="D23" s="22">
        <f>25.4/4</f>
        <v>6.35</v>
      </c>
      <c r="E23" s="28">
        <v>0.5</v>
      </c>
      <c r="F23" s="29">
        <f t="shared" si="1"/>
        <v>2.2480058931843461E-2</v>
      </c>
      <c r="G23" s="30">
        <v>0</v>
      </c>
      <c r="H23" s="132"/>
      <c r="I23" s="29">
        <f t="shared" si="2"/>
        <v>0</v>
      </c>
      <c r="J23" s="26"/>
      <c r="K23" s="21" t="s">
        <v>26</v>
      </c>
      <c r="L23" s="22">
        <f>25.4*3/8</f>
        <v>9.5249999999999986</v>
      </c>
      <c r="M23" s="30">
        <v>0</v>
      </c>
      <c r="N23" s="23">
        <v>5</v>
      </c>
      <c r="O23" s="23">
        <f t="shared" si="3"/>
        <v>0</v>
      </c>
      <c r="P23" s="15"/>
    </row>
    <row r="24" spans="2:16" ht="18.600000000000001" customHeight="1">
      <c r="B24" s="11"/>
      <c r="C24" s="152" t="s">
        <v>30</v>
      </c>
      <c r="D24" s="153"/>
      <c r="E24" s="153"/>
      <c r="F24" s="153"/>
      <c r="G24" s="153"/>
      <c r="H24" s="154"/>
      <c r="I24" s="50">
        <f>SUM(I15:I23)</f>
        <v>1.8987682546632367</v>
      </c>
      <c r="J24" s="26"/>
      <c r="K24" s="21" t="s">
        <v>27</v>
      </c>
      <c r="L24" s="22">
        <f>25.4/4</f>
        <v>6.35</v>
      </c>
      <c r="M24" s="30">
        <v>0</v>
      </c>
      <c r="N24" s="23">
        <v>3</v>
      </c>
      <c r="O24" s="23">
        <f t="shared" si="3"/>
        <v>0</v>
      </c>
      <c r="P24" s="15"/>
    </row>
    <row r="25" spans="2:16" ht="18.600000000000001" customHeight="1">
      <c r="B25" s="11"/>
      <c r="C25" s="31"/>
      <c r="D25" s="31"/>
      <c r="E25" s="31"/>
      <c r="F25" s="32"/>
      <c r="G25" s="32"/>
      <c r="H25" s="32"/>
      <c r="I25" s="26"/>
      <c r="J25" s="26"/>
      <c r="P25" s="15"/>
    </row>
    <row r="26" spans="2:16" ht="28.5" customHeight="1">
      <c r="B26" s="11"/>
      <c r="C26" s="163" t="s">
        <v>31</v>
      </c>
      <c r="D26" s="164"/>
      <c r="E26" s="165"/>
      <c r="F26" s="57" t="s">
        <v>20</v>
      </c>
      <c r="G26" s="57" t="s">
        <v>32</v>
      </c>
      <c r="H26" s="57" t="s">
        <v>22</v>
      </c>
      <c r="I26" s="57" t="s">
        <v>6</v>
      </c>
      <c r="J26" s="26"/>
      <c r="K26" s="138" t="s">
        <v>58</v>
      </c>
      <c r="L26" s="139"/>
      <c r="M26" s="140"/>
      <c r="N26" s="18" t="s">
        <v>15</v>
      </c>
      <c r="O26" s="70">
        <f>SUM(O11:O15,O20:O24)</f>
        <v>0</v>
      </c>
      <c r="P26" s="15"/>
    </row>
    <row r="27" spans="2:16" ht="18.600000000000001" customHeight="1">
      <c r="B27" s="11"/>
      <c r="C27" s="136" t="s">
        <v>33</v>
      </c>
      <c r="D27" s="166"/>
      <c r="E27" s="137"/>
      <c r="F27" s="57" t="s">
        <v>34</v>
      </c>
      <c r="G27" s="57" t="s">
        <v>35</v>
      </c>
      <c r="H27" s="56" t="s">
        <v>25</v>
      </c>
      <c r="I27" s="56" t="s">
        <v>10</v>
      </c>
      <c r="J27" s="26"/>
      <c r="K27" s="138" t="s">
        <v>36</v>
      </c>
      <c r="L27" s="139"/>
      <c r="M27" s="140"/>
      <c r="N27" s="18" t="s">
        <v>13</v>
      </c>
      <c r="O27" s="34">
        <f>O26/16</f>
        <v>0</v>
      </c>
      <c r="P27" s="15"/>
    </row>
    <row r="28" spans="2:16" ht="18.600000000000001" customHeight="1">
      <c r="B28" s="11"/>
      <c r="C28" s="133">
        <v>1</v>
      </c>
      <c r="D28" s="134"/>
      <c r="E28" s="135"/>
      <c r="F28" s="30">
        <v>30</v>
      </c>
      <c r="G28" s="157">
        <v>-35</v>
      </c>
      <c r="H28" s="160">
        <f>'evap CDU charge'!D6</f>
        <v>3.7691000000000002E-2</v>
      </c>
      <c r="I28" s="35">
        <f>F28*H$28</f>
        <v>1.13073</v>
      </c>
      <c r="J28" s="26"/>
      <c r="K28" s="141" t="s">
        <v>37</v>
      </c>
      <c r="L28" s="142"/>
      <c r="M28" s="143"/>
      <c r="N28" s="18" t="s">
        <v>15</v>
      </c>
      <c r="O28" s="33">
        <f>MIN(O27,100)*16+950</f>
        <v>950</v>
      </c>
      <c r="P28" s="15"/>
    </row>
    <row r="29" spans="2:16" ht="18.600000000000001" customHeight="1">
      <c r="B29" s="11"/>
      <c r="C29" s="133">
        <v>2</v>
      </c>
      <c r="D29" s="134"/>
      <c r="E29" s="135"/>
      <c r="F29" s="30">
        <v>0</v>
      </c>
      <c r="G29" s="158"/>
      <c r="H29" s="161"/>
      <c r="I29" s="35">
        <f>F29*H$28</f>
        <v>0</v>
      </c>
      <c r="J29" s="26"/>
      <c r="K29" s="144" t="s">
        <v>38</v>
      </c>
      <c r="L29" s="145"/>
      <c r="M29" s="145"/>
      <c r="N29" s="145"/>
      <c r="O29" s="146"/>
      <c r="P29" s="15"/>
    </row>
    <row r="30" spans="2:16" ht="18.600000000000001" customHeight="1">
      <c r="B30" s="11"/>
      <c r="C30" s="133">
        <v>3</v>
      </c>
      <c r="D30" s="134"/>
      <c r="E30" s="135"/>
      <c r="F30" s="30">
        <v>0</v>
      </c>
      <c r="G30" s="158"/>
      <c r="H30" s="161"/>
      <c r="I30" s="35">
        <f>F30*H$28</f>
        <v>0</v>
      </c>
      <c r="J30" s="26"/>
      <c r="K30" s="36"/>
      <c r="L30" s="36"/>
      <c r="M30" s="36"/>
      <c r="N30" s="37"/>
      <c r="O30" s="37"/>
      <c r="P30" s="15"/>
    </row>
    <row r="31" spans="2:16" ht="18.600000000000001" customHeight="1">
      <c r="B31" s="11"/>
      <c r="C31" s="133">
        <v>4</v>
      </c>
      <c r="D31" s="134"/>
      <c r="E31" s="135"/>
      <c r="F31" s="30">
        <v>0</v>
      </c>
      <c r="G31" s="158"/>
      <c r="H31" s="161"/>
      <c r="I31" s="35">
        <f t="shared" ref="I31:I32" si="4">F31*H$28</f>
        <v>0</v>
      </c>
      <c r="J31" s="26"/>
      <c r="O31" s="37"/>
      <c r="P31" s="15"/>
    </row>
    <row r="32" spans="2:16" ht="18.600000000000001" customHeight="1">
      <c r="B32" s="11"/>
      <c r="C32" s="133">
        <v>5</v>
      </c>
      <c r="D32" s="134"/>
      <c r="E32" s="135"/>
      <c r="F32" s="30">
        <v>0</v>
      </c>
      <c r="G32" s="158"/>
      <c r="H32" s="161"/>
      <c r="I32" s="35">
        <f t="shared" si="4"/>
        <v>0</v>
      </c>
      <c r="J32" s="26"/>
      <c r="K32" s="36"/>
      <c r="L32" s="36"/>
      <c r="M32" s="36"/>
      <c r="N32" s="37"/>
      <c r="O32" s="37"/>
      <c r="P32" s="15"/>
    </row>
    <row r="33" spans="1:17" ht="18.600000000000001" customHeight="1">
      <c r="B33" s="11"/>
      <c r="C33" s="133">
        <v>6</v>
      </c>
      <c r="D33" s="134"/>
      <c r="E33" s="135"/>
      <c r="F33" s="30">
        <v>0</v>
      </c>
      <c r="G33" s="158"/>
      <c r="H33" s="161"/>
      <c r="I33" s="35">
        <f>F33*H$28</f>
        <v>0</v>
      </c>
      <c r="J33" s="26"/>
      <c r="K33" s="48"/>
      <c r="P33" s="15"/>
    </row>
    <row r="34" spans="1:17" ht="18.600000000000001" customHeight="1" thickBot="1">
      <c r="B34" s="11"/>
      <c r="C34" s="133">
        <v>7</v>
      </c>
      <c r="D34" s="134"/>
      <c r="E34" s="135"/>
      <c r="F34" s="30">
        <v>0</v>
      </c>
      <c r="G34" s="158"/>
      <c r="H34" s="161"/>
      <c r="I34" s="35">
        <f>F34*H$28</f>
        <v>0</v>
      </c>
      <c r="J34" s="26"/>
      <c r="K34" s="147" t="s">
        <v>39</v>
      </c>
      <c r="L34" s="147"/>
      <c r="M34" s="147"/>
      <c r="N34" s="74" t="s">
        <v>15</v>
      </c>
      <c r="O34" s="74">
        <f>MIN(O26,O28)</f>
        <v>0</v>
      </c>
      <c r="P34" s="15"/>
    </row>
    <row r="35" spans="1:17" ht="18.600000000000001" customHeight="1" thickBot="1">
      <c r="B35" s="11"/>
      <c r="C35" s="133">
        <v>8</v>
      </c>
      <c r="D35" s="134"/>
      <c r="E35" s="135"/>
      <c r="F35" s="30">
        <v>0</v>
      </c>
      <c r="G35" s="159"/>
      <c r="H35" s="162"/>
      <c r="I35" s="35">
        <f>F35*H$28</f>
        <v>0</v>
      </c>
      <c r="J35" s="26"/>
      <c r="K35" s="75" t="s">
        <v>59</v>
      </c>
      <c r="L35" s="75"/>
      <c r="M35" s="76"/>
      <c r="N35" s="77" t="s">
        <v>15</v>
      </c>
      <c r="O35" s="78">
        <f>O34+1830</f>
        <v>1830</v>
      </c>
      <c r="P35" s="15"/>
    </row>
    <row r="36" spans="1:17" ht="23.45" customHeight="1">
      <c r="B36" s="11"/>
      <c r="C36" s="118" t="s">
        <v>40</v>
      </c>
      <c r="D36" s="119"/>
      <c r="E36" s="119"/>
      <c r="F36" s="119"/>
      <c r="G36" s="119"/>
      <c r="H36" s="68"/>
      <c r="I36" s="50">
        <f>SUM(I28:I35)</f>
        <v>1.13073</v>
      </c>
      <c r="J36" s="59"/>
      <c r="K36" s="58"/>
      <c r="L36" s="59"/>
      <c r="P36" s="15"/>
    </row>
    <row r="37" spans="1:17" ht="18.600000000000001" customHeight="1">
      <c r="B37" s="11"/>
      <c r="C37" s="38" t="s">
        <v>41</v>
      </c>
      <c r="D37" s="39"/>
      <c r="E37" s="39"/>
      <c r="F37" s="39"/>
      <c r="G37" s="40"/>
      <c r="H37" s="41" t="s">
        <v>13</v>
      </c>
      <c r="I37" s="35">
        <f>I24/(F18*H15)</f>
        <v>19.461879858502922</v>
      </c>
      <c r="J37" s="59"/>
      <c r="K37" s="59"/>
      <c r="L37" s="73"/>
      <c r="M37" s="73"/>
      <c r="N37" s="73"/>
      <c r="O37" s="73"/>
      <c r="P37" s="15"/>
    </row>
    <row r="38" spans="1:17" ht="18.600000000000001" customHeight="1">
      <c r="B38" s="11"/>
      <c r="C38" s="38" t="s">
        <v>42</v>
      </c>
      <c r="D38" s="42"/>
      <c r="E38" s="42"/>
      <c r="F38" s="43"/>
      <c r="G38" s="44"/>
      <c r="H38" s="41" t="s">
        <v>10</v>
      </c>
      <c r="I38" s="35">
        <f>MIN(15.7+I37*F18*H15, 24)</f>
        <v>17.598768254663234</v>
      </c>
      <c r="J38" s="59"/>
      <c r="K38" s="59"/>
      <c r="L38" s="73"/>
      <c r="M38" s="73"/>
      <c r="N38" s="73"/>
      <c r="O38" s="73"/>
      <c r="P38" s="15"/>
    </row>
    <row r="39" spans="1:17" ht="18.600000000000001" customHeight="1">
      <c r="B39" s="11"/>
      <c r="C39" s="155" t="s">
        <v>60</v>
      </c>
      <c r="D39" s="155"/>
      <c r="E39" s="155"/>
      <c r="F39" s="155"/>
      <c r="G39" s="155"/>
      <c r="H39" s="155"/>
      <c r="I39" s="155"/>
      <c r="L39" s="73"/>
      <c r="M39" s="73"/>
      <c r="N39" s="73"/>
      <c r="O39" s="73"/>
      <c r="P39" s="15"/>
    </row>
    <row r="40" spans="1:17" ht="18.600000000000001" customHeight="1">
      <c r="B40" s="11"/>
      <c r="C40" s="155"/>
      <c r="D40" s="155"/>
      <c r="E40" s="155"/>
      <c r="F40" s="155"/>
      <c r="G40" s="155"/>
      <c r="H40" s="155"/>
      <c r="I40" s="155"/>
      <c r="K40" s="94" t="s">
        <v>62</v>
      </c>
      <c r="L40" s="95"/>
      <c r="M40" s="95"/>
      <c r="N40" s="95"/>
      <c r="O40" s="96"/>
      <c r="P40" s="79"/>
      <c r="Q40" s="80"/>
    </row>
    <row r="41" spans="1:17" ht="18.600000000000001" customHeight="1">
      <c r="B41" s="11"/>
      <c r="C41" s="155"/>
      <c r="D41" s="155"/>
      <c r="E41" s="155"/>
      <c r="F41" s="155"/>
      <c r="G41" s="155"/>
      <c r="H41" s="155"/>
      <c r="I41" s="155"/>
      <c r="K41" s="97"/>
      <c r="L41" s="98"/>
      <c r="M41" s="98"/>
      <c r="N41" s="98"/>
      <c r="O41" s="99"/>
      <c r="P41" s="79"/>
      <c r="Q41" s="80"/>
    </row>
    <row r="42" spans="1:17" ht="31.9" customHeight="1">
      <c r="B42" s="11"/>
      <c r="C42" s="156" t="s">
        <v>73</v>
      </c>
      <c r="D42" s="156"/>
      <c r="E42" s="156"/>
      <c r="F42" s="156"/>
      <c r="G42" s="156"/>
      <c r="H42" s="68" t="s">
        <v>10</v>
      </c>
      <c r="I42" s="50">
        <f>MIN(I36+I24+I11,I38)</f>
        <v>13.229498254663236</v>
      </c>
      <c r="K42" s="120" t="s">
        <v>43</v>
      </c>
      <c r="L42" s="120"/>
      <c r="M42" s="69" t="s">
        <v>44</v>
      </c>
      <c r="N42" s="120" t="s">
        <v>45</v>
      </c>
      <c r="O42" s="120"/>
      <c r="P42" s="15"/>
    </row>
    <row r="43" spans="1:17" s="59" customFormat="1" ht="18.600000000000001" customHeight="1">
      <c r="A43" s="61"/>
      <c r="C43" s="62"/>
      <c r="D43" s="62"/>
      <c r="E43" s="62"/>
      <c r="F43" s="62"/>
      <c r="G43" s="62"/>
      <c r="H43" s="63"/>
      <c r="I43" s="64"/>
      <c r="K43" s="120"/>
      <c r="L43" s="120"/>
      <c r="M43" s="65" t="s">
        <v>46</v>
      </c>
      <c r="N43" s="121" t="s">
        <v>47</v>
      </c>
      <c r="O43" s="121"/>
      <c r="P43" s="61"/>
    </row>
    <row r="44" spans="1:17" s="59" customFormat="1" ht="18.600000000000001" customHeight="1" thickBot="1">
      <c r="A44" s="61"/>
      <c r="C44" s="62" t="s">
        <v>63</v>
      </c>
      <c r="D44" s="62"/>
      <c r="E44" s="62"/>
      <c r="F44" s="62"/>
      <c r="G44" s="62"/>
      <c r="H44" s="63"/>
      <c r="I44" s="64"/>
      <c r="K44" s="120"/>
      <c r="L44" s="120"/>
      <c r="M44" s="65" t="s">
        <v>48</v>
      </c>
      <c r="N44" s="121" t="s">
        <v>49</v>
      </c>
      <c r="O44" s="121"/>
      <c r="P44" s="61"/>
    </row>
    <row r="45" spans="1:17" s="59" customFormat="1" ht="18.600000000000001" customHeight="1">
      <c r="A45" s="61"/>
      <c r="C45" s="87" t="str">
        <f>IF(I24=0,"Check the Liquid Line Lenght","")</f>
        <v/>
      </c>
      <c r="D45" s="81"/>
      <c r="E45" s="81"/>
      <c r="F45" s="81"/>
      <c r="G45" s="81"/>
      <c r="H45" s="82"/>
      <c r="I45" s="83"/>
      <c r="K45" s="120"/>
      <c r="L45" s="120"/>
      <c r="M45" s="65" t="s">
        <v>50</v>
      </c>
      <c r="N45" s="121" t="s">
        <v>51</v>
      </c>
      <c r="O45" s="121"/>
      <c r="P45" s="61"/>
    </row>
    <row r="46" spans="1:17" s="59" customFormat="1" ht="18.600000000000001" customHeight="1">
      <c r="A46" s="61"/>
      <c r="C46" s="88" t="str">
        <f>IF(I36=0,"Check Evaporator Internal Volume","")</f>
        <v/>
      </c>
      <c r="D46" s="62"/>
      <c r="E46" s="62"/>
      <c r="F46" s="62"/>
      <c r="G46" s="62"/>
      <c r="H46" s="63"/>
      <c r="I46" s="84"/>
      <c r="K46" s="120"/>
      <c r="L46" s="120"/>
      <c r="M46" s="65" t="s">
        <v>61</v>
      </c>
      <c r="N46" s="121" t="s">
        <v>52</v>
      </c>
      <c r="O46" s="121"/>
      <c r="P46" s="61"/>
    </row>
    <row r="47" spans="1:17" s="59" customFormat="1" ht="18.600000000000001" customHeight="1">
      <c r="A47" s="61"/>
      <c r="C47" s="149" t="str">
        <f>IF((I11+I24+I36)&gt;I38, "Charge is limited at 24kg to secure operation within intended usage.","")</f>
        <v/>
      </c>
      <c r="D47" s="150"/>
      <c r="E47" s="150"/>
      <c r="F47" s="150"/>
      <c r="G47" s="150"/>
      <c r="H47" s="150"/>
      <c r="I47" s="151"/>
      <c r="K47" s="112" t="s">
        <v>53</v>
      </c>
      <c r="L47" s="113"/>
      <c r="M47" s="113"/>
      <c r="N47" s="113"/>
      <c r="O47" s="114"/>
      <c r="P47" s="61"/>
    </row>
    <row r="48" spans="1:17" s="59" customFormat="1" ht="18.600000000000001" customHeight="1" thickBot="1">
      <c r="A48" s="61"/>
      <c r="C48" s="89" t="str">
        <f>IF((SUM(F28:F35)&gt;27),"Total Evaporator Internal Volume is &gt; 27 L, contact Danfoss to get final validation","")</f>
        <v>Total Evaporator Internal Volume is &gt; 27 L, contact Danfoss to get final validation</v>
      </c>
      <c r="D48" s="85"/>
      <c r="E48" s="85"/>
      <c r="F48" s="85"/>
      <c r="G48" s="85"/>
      <c r="H48" s="85"/>
      <c r="I48" s="86"/>
      <c r="K48" s="115"/>
      <c r="L48" s="116"/>
      <c r="M48" s="116"/>
      <c r="N48" s="116"/>
      <c r="O48" s="117"/>
      <c r="P48" s="61"/>
    </row>
    <row r="49" spans="1:29" s="59" customFormat="1" ht="18.600000000000001" customHeight="1">
      <c r="A49" s="61"/>
      <c r="K49" s="100" t="s">
        <v>75</v>
      </c>
      <c r="L49" s="101"/>
      <c r="M49" s="101"/>
      <c r="N49" s="101"/>
      <c r="O49" s="102"/>
      <c r="P49" s="61"/>
    </row>
    <row r="50" spans="1:29">
      <c r="A50" s="15"/>
      <c r="K50" s="103"/>
      <c r="L50" s="104"/>
      <c r="M50" s="104"/>
      <c r="N50" s="104"/>
      <c r="O50" s="105"/>
      <c r="P50" s="15"/>
    </row>
    <row r="51" spans="1:29">
      <c r="B51" s="11"/>
      <c r="K51" s="106"/>
      <c r="L51" s="107"/>
      <c r="M51" s="107"/>
      <c r="N51" s="107"/>
      <c r="O51" s="108"/>
      <c r="P51" s="15"/>
    </row>
    <row r="52" spans="1:29">
      <c r="B52" s="53" t="s">
        <v>54</v>
      </c>
      <c r="K52" s="90"/>
      <c r="L52" s="90"/>
      <c r="M52" s="90"/>
      <c r="N52" s="90"/>
      <c r="O52" s="90"/>
      <c r="P52" s="15"/>
    </row>
    <row r="53" spans="1:29">
      <c r="B53" s="11"/>
      <c r="P53" s="15"/>
    </row>
    <row r="54" spans="1:29">
      <c r="B54" s="11"/>
      <c r="C54" s="6" t="s">
        <v>74</v>
      </c>
      <c r="P54" s="15"/>
      <c r="S54" s="110"/>
      <c r="T54" s="110"/>
      <c r="U54" s="71"/>
      <c r="V54" s="111"/>
      <c r="W54" s="111"/>
      <c r="Z54" s="92"/>
      <c r="AA54" s="92"/>
      <c r="AB54" s="92"/>
      <c r="AC54" s="92"/>
    </row>
    <row r="55" spans="1:29">
      <c r="B55" s="11"/>
      <c r="C55" s="109" t="s">
        <v>69</v>
      </c>
      <c r="D55" s="109"/>
      <c r="E55" s="109"/>
      <c r="F55" s="109"/>
      <c r="G55" s="109"/>
      <c r="H55" s="109"/>
      <c r="I55" s="109"/>
      <c r="J55" s="109"/>
      <c r="K55" s="109"/>
      <c r="L55" s="109"/>
      <c r="M55" s="109"/>
      <c r="N55" s="109"/>
      <c r="O55" s="109"/>
      <c r="P55" s="15"/>
      <c r="S55" s="110"/>
      <c r="T55" s="110"/>
      <c r="U55" s="71"/>
      <c r="V55" s="111"/>
      <c r="W55" s="111"/>
      <c r="Z55" s="92"/>
      <c r="AA55" s="92"/>
      <c r="AB55" s="92"/>
      <c r="AC55" s="92"/>
    </row>
    <row r="56" spans="1:29">
      <c r="B56" s="11"/>
      <c r="C56" s="6" t="s">
        <v>70</v>
      </c>
      <c r="P56" s="15"/>
      <c r="S56" s="110"/>
      <c r="T56" s="110"/>
      <c r="U56" s="71"/>
      <c r="V56" s="111"/>
      <c r="W56" s="111"/>
      <c r="Z56" s="92"/>
      <c r="AA56" s="92"/>
      <c r="AB56" s="92"/>
      <c r="AC56" s="92"/>
    </row>
    <row r="57" spans="1:29">
      <c r="B57" s="11"/>
      <c r="C57" s="6" t="s">
        <v>71</v>
      </c>
      <c r="P57" s="15"/>
      <c r="S57" s="110"/>
      <c r="T57" s="110"/>
      <c r="U57" s="71"/>
      <c r="V57" s="111"/>
      <c r="W57" s="111"/>
    </row>
    <row r="58" spans="1:29">
      <c r="B58" s="11"/>
      <c r="C58" s="6" t="s">
        <v>68</v>
      </c>
      <c r="P58" s="15"/>
      <c r="S58" s="91"/>
      <c r="T58" s="91"/>
      <c r="U58" s="91"/>
      <c r="V58" s="91"/>
      <c r="W58" s="91"/>
    </row>
    <row r="59" spans="1:29">
      <c r="B59" s="11"/>
      <c r="C59" s="6" t="s">
        <v>67</v>
      </c>
      <c r="P59" s="15"/>
      <c r="S59" s="91"/>
      <c r="T59" s="91"/>
      <c r="U59" s="91"/>
      <c r="V59" s="91"/>
      <c r="W59" s="91"/>
    </row>
    <row r="60" spans="1:29">
      <c r="B60" s="11"/>
      <c r="C60" s="6" t="s">
        <v>66</v>
      </c>
      <c r="P60" s="15"/>
      <c r="S60" s="91"/>
      <c r="T60" s="91"/>
      <c r="U60" s="91"/>
      <c r="V60" s="91"/>
      <c r="W60" s="91"/>
    </row>
    <row r="61" spans="1:29">
      <c r="B61" s="11"/>
      <c r="C61" s="6" t="s">
        <v>65</v>
      </c>
      <c r="P61" s="15"/>
      <c r="S61" s="91"/>
      <c r="T61" s="91"/>
      <c r="U61" s="91"/>
      <c r="V61" s="91"/>
      <c r="W61" s="91"/>
    </row>
    <row r="62" spans="1:29">
      <c r="B62" s="11"/>
      <c r="C62" s="6" t="s">
        <v>64</v>
      </c>
      <c r="P62" s="15"/>
      <c r="S62" s="91"/>
      <c r="T62" s="91"/>
      <c r="U62" s="91"/>
      <c r="V62" s="91"/>
      <c r="W62" s="91"/>
    </row>
    <row r="63" spans="1:29">
      <c r="B63" s="11"/>
      <c r="C63" s="6" t="s">
        <v>72</v>
      </c>
      <c r="P63" s="15"/>
      <c r="S63" s="72"/>
      <c r="T63" s="72"/>
      <c r="U63" s="72"/>
      <c r="V63" s="72"/>
      <c r="W63" s="72"/>
    </row>
    <row r="64" spans="1:29" ht="15.75" thickBot="1">
      <c r="B64" s="45"/>
      <c r="C64" s="46"/>
      <c r="D64" s="46"/>
      <c r="E64" s="46"/>
      <c r="F64" s="46"/>
      <c r="G64" s="46"/>
      <c r="H64" s="46"/>
      <c r="I64" s="46"/>
      <c r="J64" s="46"/>
      <c r="K64" s="46"/>
      <c r="L64" s="46"/>
      <c r="M64" s="46"/>
      <c r="N64" s="46"/>
      <c r="O64" s="46"/>
      <c r="P64" s="47"/>
    </row>
    <row r="67" spans="19:25">
      <c r="S67" s="93"/>
      <c r="T67" s="93"/>
      <c r="U67" s="93"/>
      <c r="V67" s="93"/>
      <c r="W67" s="93"/>
      <c r="X67" s="93"/>
      <c r="Y67" s="93"/>
    </row>
    <row r="68" spans="19:25">
      <c r="S68" s="93"/>
      <c r="T68" s="93"/>
      <c r="U68" s="93"/>
      <c r="V68" s="93"/>
      <c r="W68" s="93"/>
      <c r="X68" s="93"/>
      <c r="Y68" s="93"/>
    </row>
  </sheetData>
  <sheetProtection algorithmName="SHA-512" hashValue="20NJAIBw3X8ysmx5MgD6g1tXcwBDTjxx7iSABjxEZLg9VhzHL/3NonvgMlf9x4M1gUEDveVOh3pS5IR/gGVs2Q==" saltValue="mxjBvuC3DBzfv88xwzoavw==" spinCount="100000" sheet="1" objects="1" scenarios="1"/>
  <mergeCells count="45">
    <mergeCell ref="K34:M34"/>
    <mergeCell ref="H5:L5"/>
    <mergeCell ref="C31:E31"/>
    <mergeCell ref="C47:I47"/>
    <mergeCell ref="C24:H24"/>
    <mergeCell ref="C39:I41"/>
    <mergeCell ref="C42:G42"/>
    <mergeCell ref="G28:G35"/>
    <mergeCell ref="H28:H35"/>
    <mergeCell ref="C32:E32"/>
    <mergeCell ref="C35:E35"/>
    <mergeCell ref="C26:E26"/>
    <mergeCell ref="C27:E27"/>
    <mergeCell ref="C28:E28"/>
    <mergeCell ref="C33:E33"/>
    <mergeCell ref="C34:E34"/>
    <mergeCell ref="C4:P4"/>
    <mergeCell ref="C9:H10"/>
    <mergeCell ref="H15:H23"/>
    <mergeCell ref="C29:E29"/>
    <mergeCell ref="C30:E30"/>
    <mergeCell ref="C13:D13"/>
    <mergeCell ref="K27:M27"/>
    <mergeCell ref="K28:M28"/>
    <mergeCell ref="K26:M26"/>
    <mergeCell ref="K29:O29"/>
    <mergeCell ref="C36:G36"/>
    <mergeCell ref="K42:L46"/>
    <mergeCell ref="N42:O42"/>
    <mergeCell ref="N43:O43"/>
    <mergeCell ref="N44:O44"/>
    <mergeCell ref="N45:O45"/>
    <mergeCell ref="N46:O46"/>
    <mergeCell ref="S58:W62"/>
    <mergeCell ref="Z54:AC56"/>
    <mergeCell ref="S67:Y68"/>
    <mergeCell ref="K40:O41"/>
    <mergeCell ref="K49:O51"/>
    <mergeCell ref="C55:O55"/>
    <mergeCell ref="S54:T57"/>
    <mergeCell ref="V54:W54"/>
    <mergeCell ref="V55:W55"/>
    <mergeCell ref="V56:W56"/>
    <mergeCell ref="V57:W57"/>
    <mergeCell ref="K47:O48"/>
  </mergeCells>
  <conditionalFormatting sqref="G15:G23">
    <cfRule type="cellIs" dxfId="0" priority="1" operator="greaterThan">
      <formula>100</formula>
    </cfRule>
  </conditionalFormatting>
  <pageMargins left="0.25" right="0.25" top="0.75" bottom="0.75" header="0.3" footer="0.3"/>
  <pageSetup scale="81" orientation="landscape" r:id="rId1"/>
  <headerFooter>
    <oddFooter>&amp;C_x000D_&amp;1#&amp;"Calibri"&amp;10&amp;K000000 Classified as Business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FF98D-835F-4F28-91C8-5D366AF39800}">
  <dimension ref="B4:D6"/>
  <sheetViews>
    <sheetView showGridLines="0" workbookViewId="0">
      <selection activeCell="B6" sqref="B6"/>
    </sheetView>
  </sheetViews>
  <sheetFormatPr defaultColWidth="8.85546875" defaultRowHeight="15"/>
  <cols>
    <col min="2" max="2" width="25.85546875" customWidth="1"/>
    <col min="3" max="3" width="21.5703125" customWidth="1"/>
    <col min="4" max="4" width="19.42578125" customWidth="1"/>
  </cols>
  <sheetData>
    <row r="4" spans="2:4" ht="27.75" customHeight="1">
      <c r="B4" s="3" t="str">
        <f>'Refrigerant &amp; Oil Charge'!G26</f>
        <v>Evaporating Temperature</v>
      </c>
      <c r="C4" s="2" t="s">
        <v>55</v>
      </c>
      <c r="D4" s="3" t="s">
        <v>56</v>
      </c>
    </row>
    <row r="5" spans="2:4" ht="27.75" customHeight="1">
      <c r="B5" s="3" t="str">
        <f>'Refrigerant &amp; Oil Charge'!G27</f>
        <v>degC</v>
      </c>
      <c r="C5" s="2" t="s">
        <v>10</v>
      </c>
      <c r="D5" s="3" t="str">
        <f>'Refrigerant &amp; Oil Charge'!H27</f>
        <v>kg/L</v>
      </c>
    </row>
    <row r="6" spans="2:4" ht="27.75" customHeight="1">
      <c r="B6" s="5">
        <f>'Refrigerant &amp; Oil Charge'!G28</f>
        <v>-35</v>
      </c>
      <c r="C6" s="1">
        <f>IF(B6&gt;-5, 12.2, 10.2)</f>
        <v>10.199999999999999</v>
      </c>
      <c r="D6" s="4">
        <f>0.1811+0.006469*B6+0.00006776*B6^2</f>
        <v>3.7691000000000002E-2</v>
      </c>
    </row>
  </sheetData>
  <pageMargins left="0.7" right="0.7" top="0.75" bottom="0.75" header="0.3" footer="0.3"/>
  <headerFooter>
    <oddFooter>&amp;C_x000D_&amp;1#&amp;"Calibri"&amp;10&amp;K000000 Classified as Business</oddFooter>
  </headerFooter>
</worksheet>
</file>

<file path=docMetadata/LabelInfo.xml><?xml version="1.0" encoding="utf-8"?>
<clbl:labelList xmlns:clbl="http://schemas.microsoft.com/office/2020/mipLabelMetadata">
  <clbl:label id="{8d6a82de-332f-43b8-a8a7-1928fd67507f}" enabled="1" method="Privileged" siteId="{097464b8-069c-453e-9254-c17ec707310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Refrigerant &amp; Oil Charge</vt:lpstr>
      <vt:lpstr>evap CDU charge</vt:lpstr>
    </vt:vector>
  </TitlesOfParts>
  <Manager/>
  <Company>株式会社デンソー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KIYOTAKA KITAMURA</dc:creator>
  <cp:keywords/>
  <dc:description/>
  <cp:lastModifiedBy>Yann Monin</cp:lastModifiedBy>
  <cp:revision/>
  <dcterms:created xsi:type="dcterms:W3CDTF">2021-04-06T01:58:30Z</dcterms:created>
  <dcterms:modified xsi:type="dcterms:W3CDTF">2024-05-15T08:16:44Z</dcterms:modified>
  <cp:category/>
  <cp:contentStatus/>
</cp:coreProperties>
</file>