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88" documentId="13_ncr:1_{B98D4917-E82B-4199-A040-1BCDC87DAD64}" xr6:coauthVersionLast="47" xr6:coauthVersionMax="47" xr10:uidLastSave="{D66B49E4-906D-47CF-8713-867962EBB7DC}"/>
  <bookViews>
    <workbookView xWindow="-120" yWindow="-120" windowWidth="29040" windowHeight="17640" xr2:uid="{00000000-000D-0000-FFFF-FFFF00000000}"/>
  </bookViews>
  <sheets>
    <sheet name="Straight line installation" sheetId="1" r:id="rId1"/>
    <sheet name="Spiral installation" sheetId="5" r:id="rId2"/>
    <sheet name="Sheet2" sheetId="2" state="hidden" r:id="rId3"/>
    <sheet name="Sheet3" sheetId="3" state="hidden" r:id="rId4"/>
    <sheet name="Sheet4" sheetId="4" state="hidden" r:id="rId5"/>
  </sheets>
  <definedNames>
    <definedName name="Insulation">Sheet2!#REF!</definedName>
    <definedName name="Lines">OFFSET(Sheet4!$B$1,1,0,COUNTA(Sheet4!$B:$B),1)</definedName>
    <definedName name="Pipe_Diameter">Sheet2!#REF!</definedName>
    <definedName name="Plastic1">Sheet3!$J$16:$J$20</definedName>
    <definedName name="Resistive">Sheet3!$B$16:$B$23</definedName>
    <definedName name="Self">Sheet3!$F$16:$F$24</definedName>
    <definedName name="Выбор" localSheetId="1">'Spiral installation'!$C$25</definedName>
    <definedName name="Выбор">'Straight line installation'!$C$24</definedName>
    <definedName name="Лого" localSheetId="1">INDEX(Sheet4!$C$2:$C$6,MATCH('Spiral installation'!$C$25,Sheet4!$B$2:$B$6,0))</definedName>
    <definedName name="Лого">INDEX(Sheet4!$C$2:$C$6,MATCH('Straight line installation'!$C$24,Sheet4!$B$2:$B$6,0))</definedName>
    <definedName name="Фото" localSheetId="1">OFFSET(Sheet4!$C$2,MATCH('Spiral installation'!Выбор,[0]!Lines,0)-1,0,1,1)</definedName>
    <definedName name="Фото">OFFSET(Sheet4!$C$2,MATCH(Выбор,Lines,0)-1,0,1,1)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5" l="1"/>
  <c r="C23" i="1"/>
  <c r="G24" i="3"/>
  <c r="G50" i="3" s="1"/>
  <c r="G23" i="3"/>
  <c r="G49" i="3" s="1"/>
  <c r="G22" i="3"/>
  <c r="G33" i="3" s="1"/>
  <c r="G21" i="3"/>
  <c r="G32" i="3" s="1"/>
  <c r="G20" i="3"/>
  <c r="G31" i="3" s="1"/>
  <c r="G19" i="3"/>
  <c r="G30" i="3" s="1"/>
  <c r="G18" i="3"/>
  <c r="G29" i="3" s="1"/>
  <c r="G17" i="3"/>
  <c r="G43" i="3" s="1"/>
  <c r="G16" i="3"/>
  <c r="G42" i="3" s="1"/>
  <c r="C49" i="3"/>
  <c r="C48" i="3"/>
  <c r="C47" i="3"/>
  <c r="K46" i="3"/>
  <c r="C46" i="3"/>
  <c r="K45" i="3"/>
  <c r="C45" i="3"/>
  <c r="K44" i="3"/>
  <c r="C44" i="3"/>
  <c r="K43" i="3"/>
  <c r="C43" i="3"/>
  <c r="K42" i="3"/>
  <c r="C42" i="3"/>
  <c r="C34" i="3"/>
  <c r="C33" i="3"/>
  <c r="C32" i="3"/>
  <c r="K31" i="3"/>
  <c r="C31" i="3"/>
  <c r="K30" i="3"/>
  <c r="C30" i="3"/>
  <c r="K29" i="3"/>
  <c r="C29" i="3"/>
  <c r="K28" i="3"/>
  <c r="C28" i="3"/>
  <c r="K27" i="3"/>
  <c r="C27" i="3"/>
  <c r="G35" i="3" l="1"/>
  <c r="G28" i="3"/>
  <c r="G27" i="3"/>
  <c r="G46" i="3"/>
  <c r="G34" i="3"/>
  <c r="G44" i="3"/>
  <c r="G47" i="3"/>
  <c r="G45" i="3"/>
  <c r="G48" i="3"/>
  <c r="C20" i="5" l="1"/>
  <c r="D23" i="5"/>
  <c r="D23" i="1" l="1"/>
  <c r="C24" i="5" l="1"/>
  <c r="C25" i="5" s="1"/>
  <c r="R2" i="5"/>
  <c r="W15" i="2"/>
  <c r="C28" i="5" l="1"/>
  <c r="C30" i="5" l="1"/>
  <c r="C29" i="5"/>
  <c r="C20" i="1"/>
  <c r="R2" i="1" s="1"/>
  <c r="C24" i="1" s="1"/>
  <c r="C26" i="1" s="1"/>
  <c r="C28" i="1" s="1"/>
  <c r="C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5" authorId="0" shapeId="0" xr:uid="{1D3B3836-0ED5-4416-876F-797BC7A87D64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</text>
    </comment>
    <comment ref="C17" authorId="0" shapeId="0" xr:uid="{F52F9373-EEB0-419C-8A2D-A32F3E85F874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 xr:uid="{7618D8A3-ADEE-4C3A-9D0D-156392EE15AE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</text>
    </comment>
    <comment ref="B23" authorId="0" shapeId="0" xr:uid="{81661F0A-FF45-425D-A680-6D20D13AC371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</text>
    </comment>
    <comment ref="C29" authorId="0" shapeId="0" xr:uid="{24916D08-0BB6-4167-9CF5-C9C3F562D8C0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5" authorId="0" shapeId="0" xr:uid="{7762E2EF-B73F-4932-859C-4A26913C2786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 xr:uid="{BA60D5FC-5B97-4B36-A546-A6479B36967F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 xr:uid="{81AB9024-617B-4DCB-9013-32D3FE6C3CCE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3" authorId="0" shapeId="0" xr:uid="{885336D1-BE68-44AC-A84B-B5E6F3D8C021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</text>
    </comment>
    <comment ref="C31" authorId="0" shapeId="0" xr:uid="{F5210D70-91B3-4221-AAE7-A7776FE15154}">
      <text>
        <r>
          <rPr>
            <b/>
            <sz val="9"/>
            <color indexed="81"/>
            <rFont val="Tahoma"/>
            <family val="2"/>
            <charset val="204"/>
          </rPr>
          <t>Drop-down list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<sst xmlns="http://schemas.openxmlformats.org/spreadsheetml/2006/main" count="299" uniqueCount="129">
  <si>
    <t>mm</t>
  </si>
  <si>
    <t>W/m</t>
  </si>
  <si>
    <t>Object data</t>
  </si>
  <si>
    <r>
      <t>W/(m</t>
    </r>
    <r>
      <rPr>
        <sz val="12"/>
        <color theme="1"/>
        <rFont val="Myriad Pro"/>
        <family val="2"/>
      </rPr>
      <t>·°</t>
    </r>
    <r>
      <rPr>
        <sz val="12"/>
        <color theme="1"/>
        <rFont val="Calibri"/>
        <family val="2"/>
        <scheme val="minor"/>
      </rPr>
      <t>C)</t>
    </r>
  </si>
  <si>
    <r>
      <rPr>
        <sz val="12"/>
        <color theme="1"/>
        <rFont val="Myriad Pro"/>
        <family val="2"/>
      </rPr>
      <t>°</t>
    </r>
    <r>
      <rPr>
        <sz val="12"/>
        <color theme="1"/>
        <rFont val="Calibri"/>
        <family val="2"/>
        <scheme val="minor"/>
      </rPr>
      <t>C</t>
    </r>
  </si>
  <si>
    <t>Insulation thickness, h</t>
  </si>
  <si>
    <t>Safety factor</t>
  </si>
  <si>
    <t>Important to know</t>
  </si>
  <si>
    <t>Informational data (for more information see Application manual)</t>
  </si>
  <si>
    <r>
      <t>Desired temp, t</t>
    </r>
    <r>
      <rPr>
        <vertAlign val="subscript"/>
        <sz val="12"/>
        <color theme="1"/>
        <rFont val="Calibri"/>
        <family val="2"/>
        <charset val="204"/>
        <scheme val="minor"/>
      </rPr>
      <t>u</t>
    </r>
  </si>
  <si>
    <r>
      <t>Min outside temp, t</t>
    </r>
    <r>
      <rPr>
        <vertAlign val="subscript"/>
        <sz val="12"/>
        <color theme="1"/>
        <rFont val="Calibri"/>
        <family val="2"/>
        <charset val="204"/>
        <scheme val="minor"/>
      </rPr>
      <t>o</t>
    </r>
  </si>
  <si>
    <t>Cells with gray color - for data entry</t>
  </si>
  <si>
    <t>Table 1</t>
  </si>
  <si>
    <t>Pipe diameters</t>
  </si>
  <si>
    <t>Inside pipe diameter</t>
  </si>
  <si>
    <t>mm (DN*)</t>
  </si>
  <si>
    <t>inch (NPS*)</t>
  </si>
  <si>
    <t>1/2</t>
  </si>
  <si>
    <t>3/4</t>
  </si>
  <si>
    <t>1</t>
  </si>
  <si>
    <t>1 1/2</t>
  </si>
  <si>
    <t>2</t>
  </si>
  <si>
    <t>2 1/2</t>
  </si>
  <si>
    <t>3</t>
  </si>
  <si>
    <t>3 1/2</t>
  </si>
  <si>
    <t>4</t>
  </si>
  <si>
    <t>4 1/2</t>
  </si>
  <si>
    <t>5</t>
  </si>
  <si>
    <t>6</t>
  </si>
  <si>
    <t>Output of heating cables at 230/400 V</t>
  </si>
  <si>
    <t>Factory
manufacturer</t>
  </si>
  <si>
    <t>DEVI</t>
  </si>
  <si>
    <t>Table 2</t>
  </si>
  <si>
    <r>
      <t>DEVIflex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6T</t>
    </r>
  </si>
  <si>
    <r>
      <t>DEVIflex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10T, DEVIbasic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10S, DEVIcomfort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10T</t>
    </r>
  </si>
  <si>
    <r>
      <t>DEVIflex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18T</t>
    </r>
  </si>
  <si>
    <r>
      <t>DEVIaqua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9T</t>
    </r>
  </si>
  <si>
    <r>
      <t>DEVIflex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20T, DEVIbasic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20S</t>
    </r>
  </si>
  <si>
    <r>
      <t>DEVIpipeguard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10, DEVIpipeheat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10</t>
    </r>
  </si>
  <si>
    <r>
      <t>DEVIpipeguard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25</t>
    </r>
  </si>
  <si>
    <r>
      <t>DEVIpipeguard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33</t>
    </r>
  </si>
  <si>
    <r>
      <t>DEVIhotwatt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45</t>
    </r>
  </si>
  <si>
    <r>
      <t>DEVIhotwatt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55</t>
    </r>
  </si>
  <si>
    <r>
      <t>DEVIhotwatt</t>
    </r>
    <r>
      <rPr>
        <vertAlign val="superscript"/>
        <sz val="9"/>
        <color theme="1"/>
        <rFont val="Calibri"/>
        <family val="2"/>
        <charset val="204"/>
        <scheme val="minor"/>
      </rPr>
      <t>TM</t>
    </r>
    <r>
      <rPr>
        <sz val="11"/>
        <color theme="1"/>
        <rFont val="Calibri"/>
        <family val="2"/>
        <scheme val="minor"/>
      </rPr>
      <t xml:space="preserve"> 70</t>
    </r>
  </si>
  <si>
    <t>Thermal conductivity of insulation, λ</t>
  </si>
  <si>
    <r>
      <rPr>
        <b/>
        <sz val="12"/>
        <color theme="1"/>
        <rFont val="Calibri"/>
        <family val="2"/>
        <charset val="204"/>
        <scheme val="minor"/>
      </rPr>
      <t>Note.</t>
    </r>
    <r>
      <rPr>
        <sz val="12"/>
        <color theme="1"/>
        <rFont val="Calibri"/>
        <family val="2"/>
        <charset val="204"/>
        <scheme val="minor"/>
      </rPr>
      <t xml:space="preserve"> If a voltage of 220 V, use the coefficient 0,915 for cable output</t>
    </r>
  </si>
  <si>
    <r>
      <rPr>
        <b/>
        <sz val="12"/>
        <color theme="1"/>
        <rFont val="Calibri"/>
        <family val="2"/>
        <charset val="204"/>
        <scheme val="minor"/>
      </rPr>
      <t xml:space="preserve">Heat loss, q
</t>
    </r>
    <r>
      <rPr>
        <sz val="12"/>
        <color theme="1"/>
        <rFont val="Calibri"/>
        <family val="2"/>
        <charset val="204"/>
        <scheme val="minor"/>
      </rPr>
      <t>(with safety factor)</t>
    </r>
  </si>
  <si>
    <t>* NPS - Nominal Pipe Size, DN - Diameter Nominal</t>
  </si>
  <si>
    <t>Outside pipe diameter, d</t>
  </si>
  <si>
    <t>Outside pipe diameter**, mm</t>
  </si>
  <si>
    <t>** Approx. value for steel pipes</t>
  </si>
  <si>
    <r>
      <rPr>
        <b/>
        <sz val="12"/>
        <color theme="1"/>
        <rFont val="Calibri"/>
        <family val="2"/>
        <charset val="204"/>
        <scheme val="minor"/>
      </rPr>
      <t xml:space="preserve">Note 1. </t>
    </r>
    <r>
      <rPr>
        <sz val="12"/>
        <color theme="1"/>
        <rFont val="Calibri"/>
        <family val="2"/>
        <charset val="204"/>
        <scheme val="minor"/>
      </rPr>
      <t>For plastic pipes the linear output of resistive heating cables should not exceed 10 W/m. This restriction does not apply to self-limiting cables (SLC).</t>
    </r>
  </si>
  <si>
    <r>
      <rPr>
        <b/>
        <sz val="12"/>
        <color theme="1"/>
        <rFont val="Calibri"/>
        <family val="2"/>
        <charset val="204"/>
        <scheme val="minor"/>
      </rPr>
      <t>Note 3.</t>
    </r>
    <r>
      <rPr>
        <sz val="12"/>
        <color theme="1"/>
        <rFont val="Calibri"/>
        <family val="2"/>
        <scheme val="minor"/>
      </rPr>
      <t xml:space="preserve"> Apply aluminum tape below (mandatory for plastic pipes) and on top on the whole length of the cable.</t>
    </r>
  </si>
  <si>
    <r>
      <rPr>
        <b/>
        <sz val="12"/>
        <color theme="1"/>
        <rFont val="Calibri"/>
        <family val="2"/>
        <charset val="204"/>
        <scheme val="minor"/>
      </rPr>
      <t>Note 4.</t>
    </r>
    <r>
      <rPr>
        <sz val="12"/>
        <color theme="1"/>
        <rFont val="Calibri"/>
        <family val="2"/>
        <scheme val="minor"/>
      </rPr>
      <t xml:space="preserve"> Installing the thermostat is recommended.</t>
    </r>
  </si>
  <si>
    <t>Select cable type</t>
  </si>
  <si>
    <t>Resistive cable</t>
  </si>
  <si>
    <t>Self-limiting cable</t>
  </si>
  <si>
    <t>W/m (@ 10 °C)</t>
  </si>
  <si>
    <t>W/m (@ 45 °C)</t>
  </si>
  <si>
    <t>W/m (@ 55 °C)</t>
  </si>
  <si>
    <t>W/m (@ 70 °C)</t>
  </si>
  <si>
    <t>Length of pipe</t>
  </si>
  <si>
    <t>m</t>
  </si>
  <si>
    <t>Type of pipe</t>
  </si>
  <si>
    <t>Metal</t>
  </si>
  <si>
    <t>Plastic</t>
  </si>
  <si>
    <t>W</t>
  </si>
  <si>
    <t>System Calculation</t>
  </si>
  <si>
    <t>Number of cable lines on pipe</t>
  </si>
  <si>
    <t>recommended 1,3</t>
  </si>
  <si>
    <t>Calculated cable length</t>
  </si>
  <si>
    <t>Calculated total output</t>
  </si>
  <si>
    <t>6 W/m</t>
  </si>
  <si>
    <r>
      <t xml:space="preserve">10 W/m @ 10 </t>
    </r>
    <r>
      <rPr>
        <b/>
        <sz val="12"/>
        <color theme="1"/>
        <rFont val="Myriad Pro"/>
        <family val="2"/>
      </rPr>
      <t>°</t>
    </r>
    <r>
      <rPr>
        <b/>
        <sz val="12"/>
        <color theme="1"/>
        <rFont val="Calibri"/>
        <family val="2"/>
      </rPr>
      <t>C</t>
    </r>
  </si>
  <si>
    <t>Voltage</t>
  </si>
  <si>
    <t>V</t>
  </si>
  <si>
    <r>
      <t>DEVIflex</t>
    </r>
    <r>
      <rPr>
        <sz val="11"/>
        <color theme="1"/>
        <rFont val="Calibri"/>
        <family val="2"/>
        <scheme val="minor"/>
      </rPr>
      <t xml:space="preserve"> 6T</t>
    </r>
  </si>
  <si>
    <r>
      <t>DEVIflex</t>
    </r>
    <r>
      <rPr>
        <sz val="11"/>
        <color theme="1"/>
        <rFont val="Calibri"/>
        <family val="2"/>
        <scheme val="minor"/>
      </rPr>
      <t xml:space="preserve"> 10T</t>
    </r>
  </si>
  <si>
    <t>DEVIbasic 10S</t>
  </si>
  <si>
    <t>DEVIcomfort 10T</t>
  </si>
  <si>
    <r>
      <t>DEVIflex</t>
    </r>
    <r>
      <rPr>
        <sz val="11"/>
        <color theme="1"/>
        <rFont val="Calibri"/>
        <family val="2"/>
        <scheme val="minor"/>
      </rPr>
      <t xml:space="preserve"> 18T</t>
    </r>
  </si>
  <si>
    <t>DEVIflex 20T</t>
  </si>
  <si>
    <r>
      <t>DEVIaqua</t>
    </r>
    <r>
      <rPr>
        <sz val="11"/>
        <color theme="1"/>
        <rFont val="Calibri"/>
        <family val="2"/>
        <scheme val="minor"/>
      </rPr>
      <t xml:space="preserve"> 9T</t>
    </r>
  </si>
  <si>
    <r>
      <t>DEVIhotwatt</t>
    </r>
    <r>
      <rPr>
        <sz val="11"/>
        <color theme="1"/>
        <rFont val="Calibri"/>
        <family val="2"/>
        <scheme val="minor"/>
      </rPr>
      <t xml:space="preserve"> 45</t>
    </r>
  </si>
  <si>
    <r>
      <t>DEVIhotwatt</t>
    </r>
    <r>
      <rPr>
        <sz val="11"/>
        <color theme="1"/>
        <rFont val="Calibri"/>
        <family val="2"/>
        <scheme val="minor"/>
      </rPr>
      <t xml:space="preserve"> 70</t>
    </r>
  </si>
  <si>
    <t>U</t>
  </si>
  <si>
    <t>Resistive heating cable</t>
  </si>
  <si>
    <t>10 W/m</t>
  </si>
  <si>
    <t>18 W/m</t>
  </si>
  <si>
    <t>20 W/m</t>
  </si>
  <si>
    <t>9 W/m</t>
  </si>
  <si>
    <t>Technical support: EH@danfoss.com</t>
  </si>
  <si>
    <t>Self-limiting heating cable</t>
  </si>
  <si>
    <t>25 W/m @ 10 °C</t>
  </si>
  <si>
    <t>33 W/m @ 10 °C</t>
  </si>
  <si>
    <t>7 W/m @ 45 °C</t>
  </si>
  <si>
    <t>9 W/m @ 55 °C</t>
  </si>
  <si>
    <t>12 W/m @ 70 °C</t>
  </si>
  <si>
    <t>DEVIreg™ 330 (60 -160 °C)</t>
  </si>
  <si>
    <t>DEVIpipeguard 10</t>
  </si>
  <si>
    <t>DEVIpipeheat 10</t>
  </si>
  <si>
    <t>DEVIpipeguard 25</t>
  </si>
  <si>
    <t>DEVIpipeguard 33</t>
  </si>
  <si>
    <t>DEVIhotwatt 55</t>
  </si>
  <si>
    <t>DEVIpipeguard 30 Industry</t>
  </si>
  <si>
    <t>DEVIpipeguard 60 Industry</t>
  </si>
  <si>
    <t>DEVIreg™ 330 (+5 ... +45°C)</t>
  </si>
  <si>
    <t>DEVIreg™ 330 (-10 ... +10°C)</t>
  </si>
  <si>
    <t>DEVIreg™ 610</t>
  </si>
  <si>
    <t>DEVIreg™ 130</t>
  </si>
  <si>
    <t>1 1/4"</t>
  </si>
  <si>
    <t>U1</t>
  </si>
  <si>
    <t>U2</t>
  </si>
  <si>
    <t>P1</t>
  </si>
  <si>
    <t>P2</t>
  </si>
  <si>
    <t>Choose cable with higher W/m</t>
  </si>
  <si>
    <r>
      <rPr>
        <b/>
        <sz val="12"/>
        <color theme="1"/>
        <rFont val="Calibri"/>
        <family val="2"/>
        <charset val="204"/>
        <scheme val="minor"/>
      </rPr>
      <t xml:space="preserve">Heat loss, Q
</t>
    </r>
    <r>
      <rPr>
        <sz val="12"/>
        <color theme="1"/>
        <rFont val="Calibri"/>
        <family val="2"/>
        <charset val="204"/>
        <scheme val="minor"/>
      </rPr>
      <t>(with safety factor)</t>
    </r>
  </si>
  <si>
    <t>Required cable length</t>
  </si>
  <si>
    <t>cm</t>
  </si>
  <si>
    <t xml:space="preserve">Number of valves, flanges,etc. </t>
  </si>
  <si>
    <t xml:space="preserve">pcs. </t>
  </si>
  <si>
    <t>Heat loss calculation of pipeline and heating system selection</t>
  </si>
  <si>
    <t>Evaluative calculation</t>
  </si>
  <si>
    <t>Centre-centre distance for cables wrapped in a spiral, C-C</t>
  </si>
  <si>
    <t>DEVIreg™ Multi</t>
  </si>
  <si>
    <r>
      <rPr>
        <b/>
        <sz val="12"/>
        <color theme="1"/>
        <rFont val="Calibri"/>
        <family val="2"/>
        <charset val="204"/>
        <scheme val="minor"/>
      </rPr>
      <t>Alutape</t>
    </r>
    <r>
      <rPr>
        <sz val="12"/>
        <color theme="1"/>
        <rFont val="Calibri"/>
        <family val="2"/>
        <charset val="204"/>
        <scheme val="minor"/>
      </rPr>
      <t>, fixing element</t>
    </r>
  </si>
  <si>
    <t>Control system</t>
  </si>
  <si>
    <r>
      <rPr>
        <b/>
        <sz val="12"/>
        <color theme="1"/>
        <rFont val="Calibri"/>
        <family val="2"/>
        <charset val="204"/>
        <scheme val="minor"/>
      </rPr>
      <t>Note 2.</t>
    </r>
    <r>
      <rPr>
        <sz val="12"/>
        <color theme="1"/>
        <rFont val="Calibri"/>
        <family val="2"/>
        <charset val="204"/>
        <scheme val="minor"/>
      </rPr>
      <t xml:space="preserve"> If a voltage of 220 V, use the coefficient 0,915 for cable output.</t>
    </r>
  </si>
  <si>
    <t>DEVIbasic 20S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</si>
</sst>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Myriad Pro"/>
      <family val="2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yriad Pro"/>
      <family val="2"/>
    </font>
    <font>
      <b/>
      <sz val="12"/>
      <color theme="1"/>
      <name val="Calibri"/>
      <family val="2"/>
    </font>
    <font>
      <vertAlign val="superscript"/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Border="1"/>
    <xf numFmtId="0" fontId="0" fillId="0" borderId="5" xfId="0" applyBorder="1"/>
    <xf numFmtId="0" fontId="0" fillId="0" borderId="7" xfId="0" applyBorder="1"/>
    <xf numFmtId="2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5" xfId="0" applyBorder="1"/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2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/>
    <xf numFmtId="164" fontId="6" fillId="5" borderId="1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2" fontId="0" fillId="6" borderId="0" xfId="0" applyNumberFormat="1" applyFill="1"/>
    <xf numFmtId="0" fontId="2" fillId="3" borderId="21" xfId="0" applyFont="1" applyFill="1" applyBorder="1" applyAlignment="1">
      <alignment vertical="center" wrapText="1"/>
    </xf>
    <xf numFmtId="2" fontId="0" fillId="0" borderId="0" xfId="0" applyNumberFormat="1"/>
    <xf numFmtId="0" fontId="17" fillId="0" borderId="2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left" vertical="center" wrapText="1"/>
    </xf>
    <xf numFmtId="164" fontId="3" fillId="5" borderId="17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6" fillId="0" borderId="0" xfId="0" applyFont="1" applyFill="1" applyBorder="1" applyAlignment="1"/>
    <xf numFmtId="0" fontId="3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" fillId="3" borderId="31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99"/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9.pn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tiff"/><Relationship Id="rId2" Type="http://schemas.openxmlformats.org/officeDocument/2006/relationships/image" Target="../media/image11.tiff"/><Relationship Id="rId1" Type="http://schemas.openxmlformats.org/officeDocument/2006/relationships/image" Target="../media/image10.tiff"/><Relationship Id="rId4" Type="http://schemas.openxmlformats.org/officeDocument/2006/relationships/image" Target="../media/image13.tif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113243</xdr:colOff>
      <xdr:row>5</xdr:row>
      <xdr:rowOff>17993</xdr:rowOff>
    </xdr:from>
    <xdr:to>
      <xdr:col>8</xdr:col>
      <xdr:colOff>1046692</xdr:colOff>
      <xdr:row>15</xdr:row>
      <xdr:rowOff>3252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2160" y="1637243"/>
          <a:ext cx="2224616" cy="239825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11</xdr:col>
      <xdr:colOff>610657</xdr:colOff>
      <xdr:row>0</xdr:row>
      <xdr:rowOff>162983</xdr:rowOff>
    </xdr:from>
    <xdr:to>
      <xdr:col>12</xdr:col>
      <xdr:colOff>1299835</xdr:colOff>
      <xdr:row>1</xdr:row>
      <xdr:rowOff>459386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240" y="162983"/>
          <a:ext cx="1800428" cy="48690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26329</xdr:rowOff>
    </xdr:from>
    <xdr:to>
      <xdr:col>2</xdr:col>
      <xdr:colOff>50006</xdr:colOff>
      <xdr:row>1</xdr:row>
      <xdr:rowOff>546799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6329"/>
          <a:ext cx="1838325" cy="710970"/>
        </a:xfrm>
        <a:prstGeom prst="rect">
          <a:avLst/>
        </a:prstGeom>
      </xdr:spPr>
    </xdr:pic>
    <xdr:clientData/>
  </xdr:twoCellAnchor>
  <xdr:twoCellAnchor editAs="oneCell">
    <xdr:from>
      <xdr:col>10</xdr:col>
      <xdr:colOff>451908</xdr:colOff>
      <xdr:row>5</xdr:row>
      <xdr:rowOff>28575</xdr:rowOff>
    </xdr:from>
    <xdr:to>
      <xdr:col>12</xdr:col>
      <xdr:colOff>679449</xdr:colOff>
      <xdr:row>13</xdr:row>
      <xdr:rowOff>1376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3825" y="1647825"/>
          <a:ext cx="2439459" cy="1944688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179916</xdr:colOff>
      <xdr:row>16</xdr:row>
      <xdr:rowOff>31751</xdr:rowOff>
    </xdr:from>
    <xdr:to>
      <xdr:col>11</xdr:col>
      <xdr:colOff>971549</xdr:colOff>
      <xdr:row>22</xdr:row>
      <xdr:rowOff>179917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333" y="4296834"/>
          <a:ext cx="6781800" cy="16192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23</xdr:row>
      <xdr:rowOff>169333</xdr:rowOff>
    </xdr:from>
    <xdr:to>
      <xdr:col>12</xdr:col>
      <xdr:colOff>1681692</xdr:colOff>
      <xdr:row>31</xdr:row>
      <xdr:rowOff>81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6752A72D-D29E-4CDB-95A6-92943A808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0" y="6350000"/>
          <a:ext cx="8582025" cy="29813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10585</xdr:colOff>
          <xdr:row>23</xdr:row>
          <xdr:rowOff>10584</xdr:rowOff>
        </xdr:from>
        <xdr:to>
          <xdr:col>4</xdr:col>
          <xdr:colOff>5052</xdr:colOff>
          <xdr:row>24</xdr:row>
          <xdr:rowOff>0</xdr:rowOff>
        </xdr:to>
        <xdr:pic>
          <xdr:nvPicPr>
            <xdr:cNvPr id="11" name="Рисунок 10">
              <a:extLst>
                <a:ext uri="{FF2B5EF4-FFF2-40B4-BE49-F238E27FC236}">
                  <a16:creationId xmlns:a16="http://schemas.microsoft.com/office/drawing/2014/main" id="{ECC04AD1-9750-403D-AC95-FD0D644C8F48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Лого" spid="_x0000_s1417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444752" y="6191251"/>
              <a:ext cx="1222133" cy="1217082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113243</xdr:colOff>
      <xdr:row>5</xdr:row>
      <xdr:rowOff>17993</xdr:rowOff>
    </xdr:from>
    <xdr:to>
      <xdr:col>8</xdr:col>
      <xdr:colOff>1046692</xdr:colOff>
      <xdr:row>15</xdr:row>
      <xdr:rowOff>3252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6ECBC23F-6E4C-40CB-8D0F-8CCB359D4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268" y="1856318"/>
          <a:ext cx="2228849" cy="237603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11</xdr:col>
      <xdr:colOff>610657</xdr:colOff>
      <xdr:row>0</xdr:row>
      <xdr:rowOff>162983</xdr:rowOff>
    </xdr:from>
    <xdr:to>
      <xdr:col>12</xdr:col>
      <xdr:colOff>1299835</xdr:colOff>
      <xdr:row>1</xdr:row>
      <xdr:rowOff>459386</xdr:rowOff>
    </xdr:to>
    <xdr:pic>
      <xdr:nvPicPr>
        <xdr:cNvPr id="3" name="Рисунок 4">
          <a:extLst>
            <a:ext uri="{FF2B5EF4-FFF2-40B4-BE49-F238E27FC236}">
              <a16:creationId xmlns:a16="http://schemas.microsoft.com/office/drawing/2014/main" id="{BBF8ACF4-A562-4BC2-AEFE-ECE03D36D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4757" y="162983"/>
          <a:ext cx="1803603" cy="486903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26329</xdr:rowOff>
    </xdr:from>
    <xdr:to>
      <xdr:col>2</xdr:col>
      <xdr:colOff>50006</xdr:colOff>
      <xdr:row>1</xdr:row>
      <xdr:rowOff>546799</xdr:rowOff>
    </xdr:to>
    <xdr:pic>
      <xdr:nvPicPr>
        <xdr:cNvPr id="4" name="Рисунок 5">
          <a:extLst>
            <a:ext uri="{FF2B5EF4-FFF2-40B4-BE49-F238E27FC236}">
              <a16:creationId xmlns:a16="http://schemas.microsoft.com/office/drawing/2014/main" id="{6E4A13DA-8DBD-42E2-8586-35216EDE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6329"/>
          <a:ext cx="1840706" cy="710970"/>
        </a:xfrm>
        <a:prstGeom prst="rect">
          <a:avLst/>
        </a:prstGeom>
      </xdr:spPr>
    </xdr:pic>
    <xdr:clientData/>
  </xdr:twoCellAnchor>
  <xdr:twoCellAnchor editAs="oneCell">
    <xdr:from>
      <xdr:col>10</xdr:col>
      <xdr:colOff>451908</xdr:colOff>
      <xdr:row>5</xdr:row>
      <xdr:rowOff>28575</xdr:rowOff>
    </xdr:from>
    <xdr:to>
      <xdr:col>12</xdr:col>
      <xdr:colOff>679450</xdr:colOff>
      <xdr:row>13</xdr:row>
      <xdr:rowOff>1376</xdr:rowOff>
    </xdr:to>
    <xdr:pic>
      <xdr:nvPicPr>
        <xdr:cNvPr id="5" name="Рисунок 1">
          <a:extLst>
            <a:ext uri="{FF2B5EF4-FFF2-40B4-BE49-F238E27FC236}">
              <a16:creationId xmlns:a16="http://schemas.microsoft.com/office/drawing/2014/main" id="{600776AF-FBDD-4E8B-AF38-E5FBA8539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1108" y="1866900"/>
          <a:ext cx="2446867" cy="192542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5</xdr:col>
      <xdr:colOff>179916</xdr:colOff>
      <xdr:row>16</xdr:row>
      <xdr:rowOff>31751</xdr:rowOff>
    </xdr:from>
    <xdr:to>
      <xdr:col>11</xdr:col>
      <xdr:colOff>971549</xdr:colOff>
      <xdr:row>22</xdr:row>
      <xdr:rowOff>179917</xdr:rowOff>
    </xdr:to>
    <xdr:pic>
      <xdr:nvPicPr>
        <xdr:cNvPr id="6" name="Рисунок 8">
          <a:extLst>
            <a:ext uri="{FF2B5EF4-FFF2-40B4-BE49-F238E27FC236}">
              <a16:creationId xmlns:a16="http://schemas.microsoft.com/office/drawing/2014/main" id="{982F3787-28F5-419E-9302-8B72495FD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3266" y="4479926"/>
          <a:ext cx="6792383" cy="160549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24</xdr:row>
      <xdr:rowOff>169333</xdr:rowOff>
    </xdr:from>
    <xdr:to>
      <xdr:col>12</xdr:col>
      <xdr:colOff>1681692</xdr:colOff>
      <xdr:row>32</xdr:row>
      <xdr:rowOff>134408</xdr:rowOff>
    </xdr:to>
    <xdr:pic>
      <xdr:nvPicPr>
        <xdr:cNvPr id="7" name="Рисунок 7">
          <a:extLst>
            <a:ext uri="{FF2B5EF4-FFF2-40B4-BE49-F238E27FC236}">
              <a16:creationId xmlns:a16="http://schemas.microsoft.com/office/drawing/2014/main" id="{92FB61F0-91A7-4382-9F38-B109E8B4F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5" y="6293908"/>
          <a:ext cx="8596842" cy="2965450"/>
        </a:xfrm>
        <a:prstGeom prst="rect">
          <a:avLst/>
        </a:prstGeom>
      </xdr:spPr>
    </xdr:pic>
    <xdr:clientData/>
  </xdr:twoCellAnchor>
  <xdr:twoCellAnchor editAs="oneCell">
    <xdr:from>
      <xdr:col>1</xdr:col>
      <xdr:colOff>21167</xdr:colOff>
      <xdr:row>25</xdr:row>
      <xdr:rowOff>21168</xdr:rowOff>
    </xdr:from>
    <xdr:to>
      <xdr:col>3</xdr:col>
      <xdr:colOff>935567</xdr:colOff>
      <xdr:row>25</xdr:row>
      <xdr:rowOff>927398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11C01E5-0D40-45C6-AD65-78173756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7027335"/>
          <a:ext cx="3333750" cy="906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9525</xdr:rowOff>
    </xdr:from>
    <xdr:to>
      <xdr:col>2</xdr:col>
      <xdr:colOff>1590675</xdr:colOff>
      <xdr:row>1</xdr:row>
      <xdr:rowOff>1571625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B5E98C8-C873-4121-97C6-E4E874CD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962025"/>
          <a:ext cx="1562100" cy="15621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</xdr:row>
      <xdr:rowOff>9525</xdr:rowOff>
    </xdr:from>
    <xdr:to>
      <xdr:col>3</xdr:col>
      <xdr:colOff>12954</xdr:colOff>
      <xdr:row>2</xdr:row>
      <xdr:rowOff>1603629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7ACC0D8-958C-4A24-AED6-5EB378624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2552700"/>
          <a:ext cx="1594104" cy="1594104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600075</xdr:colOff>
      <xdr:row>2</xdr:row>
      <xdr:rowOff>1600200</xdr:rowOff>
    </xdr:from>
    <xdr:to>
      <xdr:col>2</xdr:col>
      <xdr:colOff>1584579</xdr:colOff>
      <xdr:row>3</xdr:row>
      <xdr:rowOff>1584579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28DD96F-1098-47B6-883D-54469DDE5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" y="4143375"/>
          <a:ext cx="1594104" cy="1594104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4</xdr:row>
      <xdr:rowOff>0</xdr:rowOff>
    </xdr:from>
    <xdr:to>
      <xdr:col>3</xdr:col>
      <xdr:colOff>3429</xdr:colOff>
      <xdr:row>5</xdr:row>
      <xdr:rowOff>3429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1B03C70-C0D8-4E70-B7EA-7AD415CEA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5743575"/>
          <a:ext cx="1594104" cy="1594104"/>
        </a:xfrm>
        <a:prstGeom prst="rect">
          <a:avLst/>
        </a:prstGeom>
      </xdr:spPr>
    </xdr:pic>
    <xdr:clientData/>
  </xdr:twoCellAnchor>
  <xdr:twoCellAnchor>
    <xdr:from>
      <xdr:col>2</xdr:col>
      <xdr:colOff>38100</xdr:colOff>
      <xdr:row>5</xdr:row>
      <xdr:rowOff>28574</xdr:rowOff>
    </xdr:from>
    <xdr:to>
      <xdr:col>2</xdr:col>
      <xdr:colOff>1562100</xdr:colOff>
      <xdr:row>5</xdr:row>
      <xdr:rowOff>1562099</xdr:rowOff>
    </xdr:to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33FED16D-0986-416F-B2AC-AA9CAB54DB74}"/>
            </a:ext>
          </a:extLst>
        </xdr:cNvPr>
        <xdr:cNvSpPr/>
      </xdr:nvSpPr>
      <xdr:spPr>
        <a:xfrm>
          <a:off x="1257300" y="7362824"/>
          <a:ext cx="1524000" cy="15335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Normal="100" workbookViewId="0">
      <selection activeCell="D20" sqref="D20"/>
    </sheetView>
  </sheetViews>
  <sheetFormatPr defaultRowHeight="15" x14ac:dyDescent="0.25"/>
  <cols>
    <col min="1" max="1" width="3.5703125" customWidth="1"/>
    <col min="2" max="2" width="24.28515625" style="85" customWidth="1"/>
    <col min="3" max="3" width="8.5703125" style="85" customWidth="1"/>
    <col min="4" max="4" width="18.42578125" style="85" customWidth="1"/>
    <col min="5" max="5" width="5.28515625" customWidth="1"/>
    <col min="6" max="6" width="3" customWidth="1"/>
    <col min="7" max="7" width="15.140625" customWidth="1"/>
    <col min="8" max="8" width="19.42578125" customWidth="1"/>
    <col min="9" max="9" width="18" customWidth="1"/>
    <col min="10" max="10" width="17.85546875" customWidth="1"/>
    <col min="11" max="11" width="16.5703125" customWidth="1"/>
    <col min="12" max="12" width="16.7109375" customWidth="1"/>
    <col min="13" max="13" width="25.5703125" customWidth="1"/>
    <col min="14" max="15" width="9.140625" customWidth="1"/>
  </cols>
  <sheetData>
    <row r="1" spans="1:18" x14ac:dyDescent="0.2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8" ht="46.5" customHeight="1" thickBo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R2" s="1">
        <f>C20/C23</f>
        <v>0.36009061226431582</v>
      </c>
    </row>
    <row r="3" spans="1:18" ht="28.5" customHeight="1" thickBot="1" x14ac:dyDescent="0.3">
      <c r="A3" s="115" t="s">
        <v>121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R3" s="1"/>
    </row>
    <row r="4" spans="1:18" ht="39" customHeight="1" thickBot="1" x14ac:dyDescent="0.3">
      <c r="A4" s="121" t="s">
        <v>122</v>
      </c>
      <c r="B4" s="122"/>
      <c r="C4" s="122"/>
      <c r="D4" s="122"/>
      <c r="E4" s="123"/>
      <c r="F4" s="118" t="s">
        <v>8</v>
      </c>
      <c r="G4" s="119"/>
      <c r="H4" s="119"/>
      <c r="I4" s="119"/>
      <c r="J4" s="119"/>
      <c r="K4" s="119"/>
      <c r="L4" s="119"/>
      <c r="M4" s="120"/>
    </row>
    <row r="5" spans="1:18" ht="15.75" thickBot="1" x14ac:dyDescent="0.3">
      <c r="A5" s="5"/>
      <c r="B5" s="80"/>
      <c r="C5" s="80"/>
      <c r="D5" s="80"/>
      <c r="E5" s="7"/>
      <c r="F5" s="5"/>
      <c r="G5" s="6"/>
      <c r="H5" s="6"/>
      <c r="I5" s="6"/>
      <c r="J5" s="6"/>
      <c r="K5" s="6"/>
      <c r="L5" s="6"/>
      <c r="M5" s="7"/>
    </row>
    <row r="6" spans="1:18" ht="16.5" thickBot="1" x14ac:dyDescent="0.3">
      <c r="A6" s="8"/>
      <c r="B6" s="127" t="s">
        <v>11</v>
      </c>
      <c r="C6" s="128"/>
      <c r="D6" s="129"/>
      <c r="E6" s="9"/>
      <c r="F6" s="27"/>
      <c r="G6" s="17"/>
      <c r="H6" s="17"/>
      <c r="I6" s="4"/>
      <c r="J6" s="4"/>
      <c r="K6" s="4"/>
      <c r="L6" s="4"/>
      <c r="M6" s="11"/>
    </row>
    <row r="7" spans="1:18" ht="16.5" customHeight="1" thickBot="1" x14ac:dyDescent="0.3">
      <c r="A7" s="8"/>
      <c r="B7" s="3"/>
      <c r="C7" s="3"/>
      <c r="D7" s="3"/>
      <c r="E7" s="9"/>
      <c r="F7" s="25"/>
      <c r="G7" s="26"/>
      <c r="H7" s="26"/>
      <c r="I7" s="4"/>
      <c r="J7" s="4"/>
      <c r="K7" s="4"/>
      <c r="L7" s="4"/>
      <c r="M7" s="11"/>
    </row>
    <row r="8" spans="1:18" ht="18.75" x14ac:dyDescent="0.25">
      <c r="A8" s="8"/>
      <c r="B8" s="130" t="s">
        <v>2</v>
      </c>
      <c r="C8" s="131"/>
      <c r="D8" s="132"/>
      <c r="E8" s="10"/>
      <c r="F8" s="23"/>
      <c r="G8" s="24"/>
      <c r="H8" s="24"/>
      <c r="I8" s="4"/>
      <c r="J8" s="4"/>
      <c r="K8" s="4"/>
      <c r="L8" s="4"/>
      <c r="M8" s="11"/>
    </row>
    <row r="9" spans="1:18" ht="18" customHeight="1" x14ac:dyDescent="0.25">
      <c r="A9" s="8"/>
      <c r="B9" s="56" t="s">
        <v>61</v>
      </c>
      <c r="C9" s="55">
        <v>10</v>
      </c>
      <c r="D9" s="57" t="s">
        <v>62</v>
      </c>
      <c r="E9" s="10"/>
      <c r="F9" s="23"/>
      <c r="G9" s="24"/>
      <c r="H9" s="24"/>
      <c r="I9" s="4"/>
      <c r="J9" s="4"/>
      <c r="K9" s="4"/>
      <c r="L9" s="4"/>
      <c r="M9" s="11"/>
    </row>
    <row r="10" spans="1:18" ht="18" customHeight="1" x14ac:dyDescent="0.25">
      <c r="A10" s="8"/>
      <c r="B10" s="58" t="s">
        <v>48</v>
      </c>
      <c r="C10" s="55">
        <v>50</v>
      </c>
      <c r="D10" s="59" t="s">
        <v>0</v>
      </c>
      <c r="E10" s="11"/>
      <c r="F10" s="30"/>
      <c r="G10" s="16"/>
      <c r="H10" s="24"/>
      <c r="I10" s="4"/>
      <c r="J10" s="4"/>
      <c r="K10" s="4"/>
      <c r="L10" s="4"/>
      <c r="M10" s="11"/>
    </row>
    <row r="11" spans="1:18" ht="15.75" x14ac:dyDescent="0.25">
      <c r="A11" s="8"/>
      <c r="B11" s="58" t="s">
        <v>5</v>
      </c>
      <c r="C11" s="55">
        <v>25</v>
      </c>
      <c r="D11" s="59" t="s">
        <v>0</v>
      </c>
      <c r="E11" s="11"/>
      <c r="F11" s="31"/>
      <c r="G11" s="22"/>
      <c r="H11" s="22"/>
      <c r="I11" s="4"/>
      <c r="J11" s="4"/>
      <c r="K11" s="4"/>
      <c r="L11" s="4"/>
      <c r="M11" s="11"/>
    </row>
    <row r="12" spans="1:18" ht="31.5" x14ac:dyDescent="0.25">
      <c r="A12" s="8"/>
      <c r="B12" s="58" t="s">
        <v>44</v>
      </c>
      <c r="C12" s="54">
        <v>0.05</v>
      </c>
      <c r="D12" s="59" t="s">
        <v>3</v>
      </c>
      <c r="E12" s="11"/>
      <c r="F12" s="31"/>
      <c r="G12" s="22"/>
      <c r="H12" s="22"/>
      <c r="I12" s="4"/>
      <c r="J12" s="4"/>
      <c r="K12" s="4"/>
      <c r="L12" s="4"/>
      <c r="M12" s="11"/>
    </row>
    <row r="13" spans="1:18" ht="18.75" x14ac:dyDescent="0.25">
      <c r="A13" s="8"/>
      <c r="B13" s="58" t="s">
        <v>9</v>
      </c>
      <c r="C13" s="54">
        <v>5</v>
      </c>
      <c r="D13" s="59" t="s">
        <v>4</v>
      </c>
      <c r="E13" s="11"/>
      <c r="F13" s="31"/>
      <c r="G13" s="22"/>
      <c r="H13" s="22"/>
      <c r="I13" s="4"/>
      <c r="J13" s="4"/>
      <c r="K13" s="4"/>
      <c r="L13" s="4"/>
      <c r="M13" s="11"/>
    </row>
    <row r="14" spans="1:18" ht="17.25" customHeight="1" x14ac:dyDescent="0.25">
      <c r="A14" s="8"/>
      <c r="B14" s="58" t="s">
        <v>10</v>
      </c>
      <c r="C14" s="54">
        <v>-10</v>
      </c>
      <c r="D14" s="59" t="s">
        <v>4</v>
      </c>
      <c r="E14" s="11"/>
      <c r="F14" s="31"/>
      <c r="G14" s="22"/>
      <c r="H14" s="22"/>
      <c r="I14" s="4"/>
      <c r="J14" s="4"/>
      <c r="K14" s="4"/>
      <c r="L14" s="4"/>
      <c r="M14" s="11"/>
    </row>
    <row r="15" spans="1:18" ht="17.25" customHeight="1" x14ac:dyDescent="0.25">
      <c r="A15" s="8"/>
      <c r="B15" s="58" t="s">
        <v>74</v>
      </c>
      <c r="C15" s="54">
        <v>220</v>
      </c>
      <c r="D15" s="59" t="s">
        <v>75</v>
      </c>
      <c r="E15" s="11"/>
      <c r="F15" s="31"/>
      <c r="G15" s="22"/>
      <c r="H15" s="22"/>
      <c r="I15" s="4"/>
      <c r="J15" s="4"/>
      <c r="K15" s="4"/>
      <c r="L15" s="4"/>
      <c r="M15" s="11"/>
    </row>
    <row r="16" spans="1:18" ht="17.25" customHeight="1" x14ac:dyDescent="0.25">
      <c r="A16" s="8"/>
      <c r="B16" s="58" t="s">
        <v>6</v>
      </c>
      <c r="C16" s="54">
        <v>1.3</v>
      </c>
      <c r="D16" s="60" t="s">
        <v>69</v>
      </c>
      <c r="E16" s="11"/>
      <c r="F16" s="31"/>
      <c r="G16" s="22"/>
      <c r="H16" s="22"/>
      <c r="I16" s="4"/>
      <c r="J16" s="4"/>
      <c r="K16" s="4"/>
      <c r="L16" s="4"/>
      <c r="M16" s="11"/>
    </row>
    <row r="17" spans="1:13" ht="17.25" customHeight="1" thickBot="1" x14ac:dyDescent="0.3">
      <c r="A17" s="8"/>
      <c r="B17" s="61" t="s">
        <v>63</v>
      </c>
      <c r="C17" s="136" t="s">
        <v>65</v>
      </c>
      <c r="D17" s="137"/>
      <c r="E17" s="11"/>
      <c r="F17" s="31"/>
      <c r="G17" s="22"/>
      <c r="H17" s="22"/>
      <c r="I17" s="4"/>
      <c r="J17" s="4"/>
      <c r="K17" s="4"/>
      <c r="L17" s="4"/>
      <c r="M17" s="11"/>
    </row>
    <row r="18" spans="1:13" ht="17.25" customHeight="1" thickBot="1" x14ac:dyDescent="0.3">
      <c r="A18" s="8"/>
      <c r="B18" s="81"/>
      <c r="C18" s="81"/>
      <c r="D18" s="81"/>
      <c r="E18" s="11"/>
      <c r="F18" s="31"/>
      <c r="G18" s="22"/>
      <c r="H18" s="22"/>
      <c r="I18" s="4"/>
      <c r="J18" s="4"/>
      <c r="K18" s="4"/>
      <c r="L18" s="4"/>
      <c r="M18" s="11"/>
    </row>
    <row r="19" spans="1:13" ht="17.25" customHeight="1" x14ac:dyDescent="0.25">
      <c r="A19" s="8"/>
      <c r="B19" s="124" t="s">
        <v>67</v>
      </c>
      <c r="C19" s="125"/>
      <c r="D19" s="126"/>
      <c r="E19" s="11"/>
      <c r="F19" s="31"/>
      <c r="G19" s="22"/>
      <c r="H19" s="22"/>
      <c r="I19" s="4"/>
      <c r="J19" s="4"/>
      <c r="K19" s="4"/>
      <c r="L19" s="4"/>
      <c r="M19" s="11"/>
    </row>
    <row r="20" spans="1:13" ht="31.5" x14ac:dyDescent="0.25">
      <c r="A20" s="8"/>
      <c r="B20" s="62" t="s">
        <v>46</v>
      </c>
      <c r="C20" s="52">
        <f>2*3.14*C12*(C13-C14)*C16/LN((C10+2*C11)/C10)</f>
        <v>8.8336217353631241</v>
      </c>
      <c r="D20" s="63" t="s">
        <v>1</v>
      </c>
      <c r="E20" s="11"/>
      <c r="F20" s="31"/>
      <c r="G20" s="22"/>
      <c r="H20" s="22"/>
      <c r="I20" s="4"/>
      <c r="J20" s="4"/>
      <c r="K20" s="4"/>
      <c r="L20" s="4"/>
      <c r="M20" s="11"/>
    </row>
    <row r="21" spans="1:13" ht="15.75" customHeight="1" x14ac:dyDescent="0.25">
      <c r="A21" s="8"/>
      <c r="B21" s="64"/>
      <c r="C21" s="14"/>
      <c r="D21" s="65"/>
      <c r="E21" s="11"/>
      <c r="F21" s="8"/>
      <c r="G21" s="4"/>
      <c r="H21" s="4"/>
      <c r="I21" s="4"/>
      <c r="J21" s="4"/>
      <c r="K21" s="4"/>
      <c r="L21" s="4"/>
      <c r="M21" s="11"/>
    </row>
    <row r="22" spans="1:13" ht="15.75" customHeight="1" x14ac:dyDescent="0.25">
      <c r="A22" s="8"/>
      <c r="B22" s="66" t="s">
        <v>54</v>
      </c>
      <c r="C22" s="134" t="s">
        <v>56</v>
      </c>
      <c r="D22" s="135"/>
      <c r="E22" s="11"/>
      <c r="F22" s="8"/>
      <c r="G22" s="4"/>
      <c r="H22" s="4"/>
      <c r="I22" s="4"/>
      <c r="J22" s="4"/>
      <c r="K22" s="4"/>
      <c r="L22" s="4"/>
      <c r="M22" s="11"/>
    </row>
    <row r="23" spans="1:13" ht="17.25" customHeight="1" x14ac:dyDescent="0.25">
      <c r="A23" s="8"/>
      <c r="B23" s="79" t="s">
        <v>101</v>
      </c>
      <c r="C23" s="89">
        <f>IF(AND(C22="Resistive cable",C15=230),VLOOKUP(B23,Sheet3!B16:D24,2,0),IF(AND(C15=230,C22="Self-limiting cable"),VLOOKUP(B23,Sheet3!F16:H26,2,0),IF(AND(C22="Resistive cable",C15=220),VLOOKUP(B23,Sheet3!B27:D34,2,0),IF(AND(C15=220,C22="Self-limiting cable"),VLOOKUP(B23,Sheet3!F27:H35,2,0),IF(AND(C22="Resistive cable",C15=240),VLOOKUP(B23,Sheet3!B42:D49,2,0),IF(AND(C15=240,C22="Self-limiting cable"),VLOOKUP(B23,Sheet3!F42:H50,2,0)))))))</f>
        <v>24.531663516068054</v>
      </c>
      <c r="D23" s="72" t="str">
        <f>IF(C22="Resistive cable","W/m",TEXT("W/m @ "&amp; C13 &amp; " °C",))</f>
        <v>W/m @ 5 °C</v>
      </c>
      <c r="E23" s="11"/>
      <c r="F23" s="8"/>
      <c r="G23" s="4"/>
      <c r="H23" s="4"/>
      <c r="I23" s="4"/>
      <c r="J23" s="4"/>
      <c r="K23" s="4"/>
      <c r="L23" s="4"/>
      <c r="M23" s="11"/>
    </row>
    <row r="24" spans="1:13" ht="96.75" customHeight="1" x14ac:dyDescent="0.25">
      <c r="A24" s="8"/>
      <c r="B24" s="70" t="s">
        <v>68</v>
      </c>
      <c r="C24" s="53">
        <f>IF(R2&lt;=1,1,IF(AND(R2&gt;1,R2&lt;=2),2,IF(AND(R2&gt;2,R2&lt;=3),3,IF(AND(R2&gt;3,R2&lt;=4),4,"Choose cable with higher W/m"))))</f>
        <v>1</v>
      </c>
      <c r="D24" s="67"/>
      <c r="E24" s="11"/>
      <c r="F24" s="8"/>
      <c r="G24" s="4"/>
      <c r="H24" s="4"/>
      <c r="I24" s="4"/>
      <c r="J24" s="4"/>
      <c r="K24" s="4"/>
      <c r="L24" s="4"/>
      <c r="M24" s="11"/>
    </row>
    <row r="25" spans="1:13" ht="31.5" x14ac:dyDescent="0.25">
      <c r="A25" s="8"/>
      <c r="B25" s="70" t="s">
        <v>119</v>
      </c>
      <c r="C25" s="53">
        <v>0</v>
      </c>
      <c r="D25" s="74" t="s">
        <v>120</v>
      </c>
      <c r="E25" s="11"/>
      <c r="F25" s="8"/>
      <c r="G25" s="4"/>
      <c r="H25" s="4"/>
      <c r="I25" s="4"/>
      <c r="J25" s="4"/>
      <c r="K25" s="4"/>
      <c r="L25" s="4"/>
      <c r="M25" s="11"/>
    </row>
    <row r="26" spans="1:13" ht="17.25" customHeight="1" x14ac:dyDescent="0.25">
      <c r="A26" s="8"/>
      <c r="B26" s="82" t="s">
        <v>70</v>
      </c>
      <c r="C26" s="53">
        <f>C9*C24+0.5*C25</f>
        <v>10</v>
      </c>
      <c r="D26" s="68" t="s">
        <v>62</v>
      </c>
      <c r="E26" s="11"/>
      <c r="F26" s="8"/>
      <c r="G26" s="4"/>
      <c r="H26" s="4"/>
      <c r="I26" s="4"/>
      <c r="J26" s="4"/>
      <c r="K26" s="4"/>
      <c r="L26" s="4"/>
      <c r="M26" s="11"/>
    </row>
    <row r="27" spans="1:13" ht="17.25" customHeight="1" x14ac:dyDescent="0.25">
      <c r="A27" s="8"/>
      <c r="B27" s="82" t="s">
        <v>71</v>
      </c>
      <c r="C27" s="90">
        <f>C24*C23*C9</f>
        <v>245.31663516068053</v>
      </c>
      <c r="D27" s="86" t="s">
        <v>66</v>
      </c>
      <c r="E27" s="11"/>
      <c r="F27" s="8"/>
      <c r="G27" s="4"/>
      <c r="H27" s="4"/>
      <c r="I27" s="4"/>
      <c r="J27" s="4"/>
      <c r="K27" s="4"/>
      <c r="L27" s="4"/>
      <c r="M27" s="11"/>
    </row>
    <row r="28" spans="1:13" ht="17.25" customHeight="1" x14ac:dyDescent="0.25">
      <c r="A28" s="8"/>
      <c r="B28" s="91" t="s">
        <v>125</v>
      </c>
      <c r="C28" s="53">
        <f>IF(C17="Plastic", C26*2,C26)</f>
        <v>20</v>
      </c>
      <c r="D28" s="86" t="s">
        <v>62</v>
      </c>
      <c r="E28" s="11"/>
      <c r="F28" s="8"/>
      <c r="G28" s="4"/>
      <c r="H28" s="4"/>
      <c r="I28" s="4"/>
      <c r="J28" s="4"/>
      <c r="K28" s="4"/>
      <c r="L28" s="4"/>
      <c r="M28" s="11"/>
    </row>
    <row r="29" spans="1:13" ht="32.25" customHeight="1" thickBot="1" x14ac:dyDescent="0.3">
      <c r="A29" s="8"/>
      <c r="B29" s="61" t="s">
        <v>126</v>
      </c>
      <c r="C29" s="138" t="s">
        <v>107</v>
      </c>
      <c r="D29" s="139"/>
      <c r="E29" s="11"/>
      <c r="F29" s="8"/>
      <c r="G29" s="4"/>
      <c r="H29" s="4"/>
      <c r="I29" s="4"/>
      <c r="J29" s="4"/>
      <c r="K29" s="4"/>
      <c r="L29" s="4"/>
      <c r="M29" s="11"/>
    </row>
    <row r="30" spans="1:13" ht="15.75" x14ac:dyDescent="0.25">
      <c r="A30" s="8"/>
      <c r="B30" s="83"/>
      <c r="C30" s="3"/>
      <c r="D30" s="83"/>
      <c r="E30" s="11"/>
      <c r="F30" s="8"/>
      <c r="G30" s="4"/>
      <c r="H30" s="4"/>
      <c r="I30" s="4"/>
      <c r="J30" s="4"/>
      <c r="K30" s="4"/>
      <c r="L30" s="4"/>
      <c r="M30" s="11"/>
    </row>
    <row r="31" spans="1:13" ht="18.75" x14ac:dyDescent="0.25">
      <c r="A31" s="8"/>
      <c r="B31" s="133" t="s">
        <v>7</v>
      </c>
      <c r="C31" s="133"/>
      <c r="D31" s="133"/>
      <c r="E31" s="11"/>
      <c r="F31" s="8"/>
      <c r="G31" s="4"/>
      <c r="H31" s="4"/>
      <c r="I31" s="4"/>
      <c r="J31" s="4"/>
      <c r="K31" s="4"/>
      <c r="L31" s="4"/>
      <c r="M31" s="11"/>
    </row>
    <row r="32" spans="1:13" ht="49.5" customHeight="1" x14ac:dyDescent="0.25">
      <c r="A32" s="8"/>
      <c r="B32" s="104" t="s">
        <v>51</v>
      </c>
      <c r="C32" s="104"/>
      <c r="D32" s="104"/>
      <c r="E32" s="11"/>
      <c r="F32" s="8"/>
      <c r="G32" s="4"/>
      <c r="H32" s="4"/>
      <c r="I32" s="4"/>
      <c r="J32" s="4"/>
      <c r="K32" s="4"/>
      <c r="L32" s="4"/>
      <c r="M32" s="11"/>
    </row>
    <row r="33" spans="1:21" ht="32.25" customHeight="1" x14ac:dyDescent="0.25">
      <c r="A33" s="8"/>
      <c r="B33" s="104" t="s">
        <v>127</v>
      </c>
      <c r="C33" s="104"/>
      <c r="D33" s="104"/>
      <c r="E33" s="11"/>
      <c r="F33" s="32"/>
      <c r="G33" s="20"/>
      <c r="H33" s="20"/>
      <c r="I33" s="20"/>
      <c r="J33" s="20"/>
      <c r="K33" s="20"/>
      <c r="L33" s="20"/>
      <c r="M33" s="40"/>
    </row>
    <row r="34" spans="1:21" ht="48.75" customHeight="1" thickBot="1" x14ac:dyDescent="0.3">
      <c r="A34" s="8"/>
      <c r="B34" s="104" t="s">
        <v>52</v>
      </c>
      <c r="C34" s="105"/>
      <c r="D34" s="105"/>
      <c r="E34" s="11"/>
      <c r="F34" s="27"/>
      <c r="G34" s="20"/>
      <c r="H34" s="20"/>
      <c r="I34" s="20"/>
      <c r="J34" s="20"/>
      <c r="K34" s="20"/>
      <c r="L34" s="20"/>
      <c r="M34" s="40"/>
      <c r="N34" s="17"/>
      <c r="O34" s="17"/>
      <c r="P34" s="17"/>
      <c r="Q34" s="17"/>
      <c r="R34" s="17"/>
      <c r="S34" s="17"/>
      <c r="T34" s="17"/>
      <c r="U34" s="4"/>
    </row>
    <row r="35" spans="1:21" ht="16.5" thickBot="1" x14ac:dyDescent="0.3">
      <c r="A35" s="8"/>
      <c r="B35" s="106" t="s">
        <v>53</v>
      </c>
      <c r="C35" s="107"/>
      <c r="D35" s="108"/>
      <c r="E35" s="11"/>
      <c r="F35" s="25"/>
      <c r="G35" s="102" t="s">
        <v>91</v>
      </c>
      <c r="H35" s="103"/>
      <c r="I35" s="92"/>
      <c r="J35" s="20"/>
      <c r="K35" s="20"/>
      <c r="L35" s="20"/>
      <c r="M35" s="40"/>
      <c r="N35" s="26"/>
      <c r="O35" s="26"/>
      <c r="P35" s="26"/>
      <c r="Q35" s="26"/>
      <c r="R35" s="26"/>
      <c r="S35" s="26"/>
      <c r="T35" s="26"/>
      <c r="U35" s="4"/>
    </row>
    <row r="36" spans="1:21" ht="16.5" thickBot="1" x14ac:dyDescent="0.3">
      <c r="A36" s="12"/>
      <c r="B36" s="84"/>
      <c r="C36" s="84"/>
      <c r="D36" s="84"/>
      <c r="E36" s="13"/>
      <c r="F36" s="44"/>
      <c r="G36" s="45"/>
      <c r="H36" s="46"/>
      <c r="I36" s="46"/>
      <c r="J36" s="46"/>
      <c r="K36" s="46"/>
      <c r="L36" s="46"/>
      <c r="M36" s="47"/>
      <c r="N36" s="21"/>
      <c r="O36" s="21"/>
      <c r="P36" s="21"/>
      <c r="Q36" s="21"/>
      <c r="R36" s="19"/>
      <c r="S36" s="19"/>
      <c r="T36" s="19"/>
      <c r="U36" s="4"/>
    </row>
    <row r="37" spans="1:21" ht="15.75" x14ac:dyDescent="0.25">
      <c r="A37" s="4"/>
      <c r="B37" s="81"/>
      <c r="C37" s="81"/>
      <c r="D37" s="81"/>
      <c r="E37" s="4"/>
      <c r="F37" s="24"/>
      <c r="G37" s="36"/>
      <c r="H37" s="37"/>
      <c r="I37" s="37"/>
      <c r="J37" s="37"/>
      <c r="K37" s="38"/>
      <c r="L37" s="37"/>
      <c r="M37" s="38"/>
      <c r="N37" s="19"/>
      <c r="O37" s="19"/>
      <c r="P37" s="19"/>
      <c r="Q37" s="19"/>
      <c r="R37" s="19"/>
      <c r="S37" s="19"/>
      <c r="T37" s="19"/>
      <c r="U37" s="4"/>
    </row>
    <row r="38" spans="1:21" ht="15.75" x14ac:dyDescent="0.25">
      <c r="A38" s="4"/>
      <c r="B38" s="81"/>
      <c r="C38" s="81"/>
      <c r="D38" s="81"/>
      <c r="E38" s="4"/>
      <c r="F38" s="24"/>
      <c r="G38" s="36"/>
      <c r="H38" s="38"/>
      <c r="I38" s="38"/>
      <c r="J38" s="38"/>
      <c r="K38" s="38"/>
      <c r="L38" s="38"/>
      <c r="M38" s="38"/>
      <c r="N38" s="19"/>
      <c r="O38" s="19"/>
      <c r="P38" s="19"/>
      <c r="Q38" s="19"/>
      <c r="R38" s="19"/>
      <c r="S38" s="19"/>
      <c r="T38" s="19"/>
      <c r="U38" s="4"/>
    </row>
    <row r="39" spans="1:21" x14ac:dyDescent="0.25">
      <c r="A39" s="4"/>
      <c r="B39" s="81"/>
      <c r="C39" s="81"/>
      <c r="D39" s="81"/>
      <c r="E39" s="4"/>
      <c r="F39" s="43"/>
      <c r="G39" s="3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.75" customHeight="1" x14ac:dyDescent="0.25">
      <c r="A40" s="4"/>
      <c r="B40" s="81"/>
      <c r="C40" s="81"/>
      <c r="D40" s="81"/>
      <c r="E40" s="4"/>
      <c r="F40" s="4"/>
      <c r="G40" s="24"/>
      <c r="H40" s="20"/>
      <c r="I40" s="20"/>
      <c r="J40" s="20"/>
      <c r="K40" s="20"/>
      <c r="L40" s="20"/>
      <c r="M40" s="20"/>
      <c r="N40" s="4"/>
    </row>
    <row r="41" spans="1:21" ht="15.75" x14ac:dyDescent="0.25">
      <c r="A41" s="4"/>
      <c r="B41" s="81"/>
      <c r="C41" s="81"/>
      <c r="D41" s="81"/>
      <c r="E41" s="4"/>
      <c r="F41" s="4"/>
      <c r="G41" s="24"/>
      <c r="H41" s="35"/>
      <c r="I41" s="35"/>
      <c r="J41" s="35"/>
      <c r="K41" s="35"/>
      <c r="L41" s="35"/>
      <c r="M41" s="35"/>
      <c r="N41" s="4"/>
    </row>
    <row r="42" spans="1:21" ht="15.75" x14ac:dyDescent="0.25">
      <c r="A42" s="4"/>
      <c r="B42" s="81"/>
      <c r="C42" s="81"/>
      <c r="D42" s="81"/>
      <c r="E42" s="4"/>
      <c r="F42" s="4"/>
      <c r="G42" s="36"/>
      <c r="H42" s="38"/>
      <c r="I42" s="38"/>
      <c r="J42" s="38"/>
      <c r="K42" s="38"/>
      <c r="L42" s="38"/>
      <c r="M42" s="38"/>
      <c r="N42" s="4"/>
    </row>
    <row r="43" spans="1:21" ht="15.75" x14ac:dyDescent="0.25">
      <c r="A43" s="4"/>
      <c r="B43" s="81"/>
      <c r="C43" s="81"/>
      <c r="D43" s="81"/>
      <c r="E43" s="4"/>
      <c r="F43" s="4"/>
      <c r="G43" s="36"/>
      <c r="H43" s="38"/>
      <c r="I43" s="38"/>
      <c r="J43" s="38"/>
      <c r="K43" s="38"/>
      <c r="L43" s="38"/>
      <c r="M43" s="38"/>
      <c r="N43" s="4"/>
    </row>
    <row r="44" spans="1:21" x14ac:dyDescent="0.25">
      <c r="A44" s="4"/>
      <c r="B44" s="81"/>
      <c r="C44" s="81"/>
      <c r="D44" s="8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1" x14ac:dyDescent="0.25">
      <c r="A45" s="4"/>
      <c r="B45" s="81"/>
      <c r="C45" s="81"/>
      <c r="D45" s="8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1" x14ac:dyDescent="0.25">
      <c r="A46" s="4"/>
      <c r="B46" s="81"/>
      <c r="C46" s="81"/>
      <c r="D46" s="8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1" x14ac:dyDescent="0.25">
      <c r="A47" s="4"/>
      <c r="B47" s="81"/>
      <c r="C47" s="81"/>
      <c r="D47" s="81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21" x14ac:dyDescent="0.25">
      <c r="A48" s="4"/>
      <c r="B48" s="81"/>
      <c r="C48" s="81"/>
      <c r="D48" s="81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6" x14ac:dyDescent="0.25">
      <c r="A49" s="4"/>
      <c r="B49" s="81"/>
      <c r="C49" s="81"/>
      <c r="D49" s="81"/>
      <c r="E49" s="4"/>
      <c r="F49" s="4"/>
    </row>
  </sheetData>
  <sheetProtection algorithmName="SHA-512" hashValue="fWVDESmyStnb0NBAOiElaGVrXa60Tsa4IUuj5k0VprgHqrpEyJOdbXGqtRhgQX6mOrStcg7glPf68P2mZIr1UQ==" saltValue="lJqcyJOYrsKAAA0XjcAwfA==" spinCount="100000" sheet="1" objects="1" scenarios="1"/>
  <mergeCells count="16">
    <mergeCell ref="G35:H35"/>
    <mergeCell ref="B34:D34"/>
    <mergeCell ref="B35:D35"/>
    <mergeCell ref="A1:M2"/>
    <mergeCell ref="A3:M3"/>
    <mergeCell ref="F4:M4"/>
    <mergeCell ref="B33:D33"/>
    <mergeCell ref="A4:E4"/>
    <mergeCell ref="B19:D19"/>
    <mergeCell ref="B6:D6"/>
    <mergeCell ref="B8:D8"/>
    <mergeCell ref="B32:D32"/>
    <mergeCell ref="B31:D31"/>
    <mergeCell ref="C22:D22"/>
    <mergeCell ref="C17:D17"/>
    <mergeCell ref="C29:D29"/>
  </mergeCells>
  <dataValidations count="1">
    <dataValidation type="list" allowBlank="1" showInputMessage="1" showErrorMessage="1" sqref="B23" xr:uid="{00000000-0002-0000-0000-000000000000}">
      <formula1>IF(C22="Self-limiting cable",Self,IF(C17="Plastic",Plastic1,IF(C22="Resistive cable",Resistive)))</formula1>
    </dataValidation>
  </dataValidations>
  <pageMargins left="0" right="0" top="0" bottom="0" header="0.31496062992125984" footer="0.31496062992125984"/>
  <pageSetup paperSize="9" scale="75" orientation="landscape" r:id="rId1"/>
  <headerFooter>
    <oddFooter>&amp;C&amp;1#&amp;"Calibri"&amp;10&amp;K000000Classified as Business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Sheet2!$C$11:$C$12</xm:f>
          </x14:formula1>
          <xm:sqref>C22:D22</xm:sqref>
        </x14:dataValidation>
        <x14:dataValidation type="list" allowBlank="1" showInputMessage="1" showErrorMessage="1" xr:uid="{00000000-0002-0000-0000-000002000000}">
          <x14:formula1>
            <xm:f>Sheet2!$C$14:$C$15</xm:f>
          </x14:formula1>
          <xm:sqref>C17:D17</xm:sqref>
        </x14:dataValidation>
        <x14:dataValidation type="list" allowBlank="1" showInputMessage="1" showErrorMessage="1" xr:uid="{00000000-0002-0000-0000-000003000000}">
          <x14:formula1>
            <xm:f>Sheet2!$L$12:$L$14</xm:f>
          </x14:formula1>
          <xm:sqref>C15</xm:sqref>
        </x14:dataValidation>
        <x14:dataValidation type="list" allowBlank="1" showInputMessage="1" showErrorMessage="1" xr:uid="{00000000-0002-0000-0000-000004000000}">
          <x14:formula1>
            <xm:f>Sheet2!$C$18:$C$23</xm:f>
          </x14:formula1>
          <xm:sqref>C29:D29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CAFF-F214-4FE3-9553-ABF9AA04F4D0}">
  <dimension ref="A1:U51"/>
  <sheetViews>
    <sheetView topLeftCell="A4" zoomScaleNormal="100" workbookViewId="0">
      <selection activeCell="E9" sqref="E9"/>
    </sheetView>
  </sheetViews>
  <sheetFormatPr defaultRowHeight="15" x14ac:dyDescent="0.25"/>
  <cols>
    <col min="1" max="1" width="3.5703125" customWidth="1"/>
    <col min="2" max="2" width="24.28515625" style="85" customWidth="1"/>
    <col min="3" max="3" width="11.85546875" style="85" customWidth="1"/>
    <col min="4" max="4" width="15.85546875" style="85" customWidth="1"/>
    <col min="5" max="5" width="5.28515625" customWidth="1"/>
    <col min="6" max="6" width="3" customWidth="1"/>
    <col min="7" max="7" width="15.140625" customWidth="1"/>
    <col min="8" max="8" width="19.42578125" customWidth="1"/>
    <col min="9" max="9" width="18" customWidth="1"/>
    <col min="10" max="10" width="17.85546875" customWidth="1"/>
    <col min="11" max="11" width="16.5703125" customWidth="1"/>
    <col min="12" max="12" width="16.7109375" customWidth="1"/>
    <col min="13" max="13" width="25.5703125" customWidth="1"/>
    <col min="14" max="15" width="9.140625" customWidth="1"/>
  </cols>
  <sheetData>
    <row r="1" spans="1:18" x14ac:dyDescent="0.2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8" ht="46.5" customHeight="1" thickBo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  <c r="R2" s="1">
        <f>C20/C23</f>
        <v>0.95131310996218266</v>
      </c>
    </row>
    <row r="3" spans="1:18" ht="28.5" customHeight="1" thickBot="1" x14ac:dyDescent="0.3">
      <c r="A3" s="115" t="s">
        <v>121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R3" s="1"/>
    </row>
    <row r="4" spans="1:18" ht="39" customHeight="1" thickBot="1" x14ac:dyDescent="0.3">
      <c r="A4" s="121" t="s">
        <v>122</v>
      </c>
      <c r="B4" s="122"/>
      <c r="C4" s="122"/>
      <c r="D4" s="122"/>
      <c r="E4" s="123"/>
      <c r="F4" s="118" t="s">
        <v>8</v>
      </c>
      <c r="G4" s="119"/>
      <c r="H4" s="119"/>
      <c r="I4" s="119"/>
      <c r="J4" s="119"/>
      <c r="K4" s="119"/>
      <c r="L4" s="119"/>
      <c r="M4" s="120"/>
    </row>
    <row r="5" spans="1:18" ht="15.75" thickBot="1" x14ac:dyDescent="0.3">
      <c r="A5" s="5"/>
      <c r="B5" s="80"/>
      <c r="C5" s="80"/>
      <c r="D5" s="80"/>
      <c r="E5" s="7"/>
      <c r="F5" s="5"/>
      <c r="G5" s="6"/>
      <c r="H5" s="6"/>
      <c r="I5" s="6"/>
      <c r="J5" s="6"/>
      <c r="K5" s="6"/>
      <c r="L5" s="6"/>
      <c r="M5" s="7"/>
    </row>
    <row r="6" spans="1:18" ht="16.5" thickBot="1" x14ac:dyDescent="0.3">
      <c r="A6" s="8"/>
      <c r="B6" s="127" t="s">
        <v>11</v>
      </c>
      <c r="C6" s="128"/>
      <c r="D6" s="129"/>
      <c r="E6" s="9"/>
      <c r="F6" s="27"/>
      <c r="G6" s="17"/>
      <c r="H6" s="17"/>
      <c r="I6" s="4"/>
      <c r="J6" s="4"/>
      <c r="K6" s="4"/>
      <c r="L6" s="4"/>
      <c r="M6" s="11"/>
    </row>
    <row r="7" spans="1:18" ht="16.5" customHeight="1" thickBot="1" x14ac:dyDescent="0.3">
      <c r="A7" s="8"/>
      <c r="B7" s="3"/>
      <c r="C7" s="3"/>
      <c r="D7" s="3"/>
      <c r="E7" s="9"/>
      <c r="F7" s="25"/>
      <c r="G7" s="26"/>
      <c r="H7" s="26"/>
      <c r="I7" s="4"/>
      <c r="J7" s="4"/>
      <c r="K7" s="4"/>
      <c r="L7" s="4"/>
      <c r="M7" s="11"/>
    </row>
    <row r="8" spans="1:18" ht="18.75" x14ac:dyDescent="0.25">
      <c r="A8" s="8"/>
      <c r="B8" s="130" t="s">
        <v>2</v>
      </c>
      <c r="C8" s="131"/>
      <c r="D8" s="132"/>
      <c r="E8" s="10"/>
      <c r="F8" s="23"/>
      <c r="G8" s="24"/>
      <c r="H8" s="24"/>
      <c r="I8" s="4"/>
      <c r="J8" s="4"/>
      <c r="K8" s="4"/>
      <c r="L8" s="4"/>
      <c r="M8" s="11"/>
    </row>
    <row r="9" spans="1:18" ht="18" customHeight="1" x14ac:dyDescent="0.25">
      <c r="A9" s="8"/>
      <c r="B9" s="56" t="s">
        <v>61</v>
      </c>
      <c r="C9" s="55">
        <v>1</v>
      </c>
      <c r="D9" s="57" t="s">
        <v>62</v>
      </c>
      <c r="E9" s="10"/>
      <c r="F9" s="23"/>
      <c r="G9" s="24"/>
      <c r="H9" s="24"/>
      <c r="I9" s="4"/>
      <c r="J9" s="4"/>
      <c r="K9" s="4"/>
      <c r="L9" s="4"/>
      <c r="M9" s="11"/>
    </row>
    <row r="10" spans="1:18" ht="18" customHeight="1" x14ac:dyDescent="0.25">
      <c r="A10" s="8"/>
      <c r="B10" s="58" t="s">
        <v>48</v>
      </c>
      <c r="C10" s="55">
        <v>20</v>
      </c>
      <c r="D10" s="59" t="s">
        <v>0</v>
      </c>
      <c r="E10" s="11"/>
      <c r="F10" s="30"/>
      <c r="G10" s="16"/>
      <c r="H10" s="24"/>
      <c r="I10" s="4"/>
      <c r="J10" s="4"/>
      <c r="K10" s="4"/>
      <c r="L10" s="4"/>
      <c r="M10" s="11"/>
    </row>
    <row r="11" spans="1:18" ht="15.75" x14ac:dyDescent="0.25">
      <c r="A11" s="8"/>
      <c r="B11" s="58" t="s">
        <v>5</v>
      </c>
      <c r="C11" s="55">
        <v>10</v>
      </c>
      <c r="D11" s="59" t="s">
        <v>0</v>
      </c>
      <c r="E11" s="11"/>
      <c r="F11" s="31"/>
      <c r="G11" s="22"/>
      <c r="H11" s="22"/>
      <c r="I11" s="4"/>
      <c r="J11" s="4"/>
      <c r="K11" s="4"/>
      <c r="L11" s="4"/>
      <c r="M11" s="11"/>
    </row>
    <row r="12" spans="1:18" ht="31.5" x14ac:dyDescent="0.25">
      <c r="A12" s="8"/>
      <c r="B12" s="58" t="s">
        <v>44</v>
      </c>
      <c r="C12" s="54">
        <v>3.5000000000000003E-2</v>
      </c>
      <c r="D12" s="59" t="s">
        <v>3</v>
      </c>
      <c r="E12" s="11"/>
      <c r="F12" s="31"/>
      <c r="G12" s="22"/>
      <c r="H12" s="22"/>
      <c r="I12" s="4"/>
      <c r="J12" s="4"/>
      <c r="K12" s="4"/>
      <c r="L12" s="4"/>
      <c r="M12" s="11"/>
    </row>
    <row r="13" spans="1:18" ht="18.75" x14ac:dyDescent="0.25">
      <c r="A13" s="8"/>
      <c r="B13" s="58" t="s">
        <v>9</v>
      </c>
      <c r="C13" s="54">
        <v>50</v>
      </c>
      <c r="D13" s="59" t="s">
        <v>4</v>
      </c>
      <c r="E13" s="11"/>
      <c r="F13" s="31"/>
      <c r="G13" s="22"/>
      <c r="H13" s="22"/>
      <c r="I13" s="4"/>
      <c r="J13" s="4"/>
      <c r="K13" s="4"/>
      <c r="L13" s="4"/>
      <c r="M13" s="11"/>
    </row>
    <row r="14" spans="1:18" ht="17.25" customHeight="1" x14ac:dyDescent="0.25">
      <c r="A14" s="8"/>
      <c r="B14" s="58" t="s">
        <v>10</v>
      </c>
      <c r="C14" s="54">
        <v>25</v>
      </c>
      <c r="D14" s="59" t="s">
        <v>4</v>
      </c>
      <c r="E14" s="11"/>
      <c r="F14" s="31"/>
      <c r="G14" s="22"/>
      <c r="H14" s="22"/>
      <c r="I14" s="4"/>
      <c r="J14" s="4"/>
      <c r="K14" s="4"/>
      <c r="L14" s="4"/>
      <c r="M14" s="11"/>
    </row>
    <row r="15" spans="1:18" ht="17.25" customHeight="1" x14ac:dyDescent="0.25">
      <c r="A15" s="8"/>
      <c r="B15" s="58" t="s">
        <v>74</v>
      </c>
      <c r="C15" s="54">
        <v>230</v>
      </c>
      <c r="D15" s="59" t="s">
        <v>75</v>
      </c>
      <c r="E15" s="11"/>
      <c r="F15" s="31"/>
      <c r="G15" s="22"/>
      <c r="H15" s="22"/>
      <c r="I15" s="4"/>
      <c r="J15" s="4"/>
      <c r="K15" s="4"/>
      <c r="L15" s="4"/>
      <c r="M15" s="11"/>
    </row>
    <row r="16" spans="1:18" ht="17.25" customHeight="1" x14ac:dyDescent="0.25">
      <c r="A16" s="8"/>
      <c r="B16" s="58" t="s">
        <v>6</v>
      </c>
      <c r="C16" s="54">
        <v>1.2</v>
      </c>
      <c r="D16" s="60" t="s">
        <v>69</v>
      </c>
      <c r="E16" s="11"/>
      <c r="F16" s="31"/>
      <c r="G16" s="22"/>
      <c r="H16" s="22"/>
      <c r="I16" s="4"/>
      <c r="J16" s="4"/>
      <c r="K16" s="4"/>
      <c r="L16" s="4"/>
      <c r="M16" s="11"/>
    </row>
    <row r="17" spans="1:13" ht="17.25" customHeight="1" thickBot="1" x14ac:dyDescent="0.3">
      <c r="A17" s="8"/>
      <c r="B17" s="61" t="s">
        <v>63</v>
      </c>
      <c r="C17" s="136" t="s">
        <v>64</v>
      </c>
      <c r="D17" s="137"/>
      <c r="E17" s="11"/>
      <c r="F17" s="31"/>
      <c r="G17" s="22"/>
      <c r="H17" s="22"/>
      <c r="I17" s="4"/>
      <c r="J17" s="4"/>
      <c r="K17" s="4"/>
      <c r="L17" s="4"/>
      <c r="M17" s="11"/>
    </row>
    <row r="18" spans="1:13" ht="17.25" customHeight="1" thickBot="1" x14ac:dyDescent="0.3">
      <c r="A18" s="8"/>
      <c r="B18" s="81"/>
      <c r="C18" s="81"/>
      <c r="D18" s="81"/>
      <c r="E18" s="11"/>
      <c r="F18" s="31"/>
      <c r="G18" s="22"/>
      <c r="H18" s="22"/>
      <c r="I18" s="4"/>
      <c r="J18" s="4"/>
      <c r="K18" s="4"/>
      <c r="L18" s="4"/>
      <c r="M18" s="11"/>
    </row>
    <row r="19" spans="1:13" ht="17.25" customHeight="1" x14ac:dyDescent="0.3">
      <c r="A19" s="8"/>
      <c r="B19" s="140" t="s">
        <v>67</v>
      </c>
      <c r="C19" s="141"/>
      <c r="D19" s="142"/>
      <c r="E19" s="11"/>
      <c r="F19" s="31"/>
      <c r="G19" s="22"/>
      <c r="H19" s="22"/>
      <c r="I19" s="4"/>
      <c r="J19" s="4"/>
      <c r="K19" s="4"/>
      <c r="L19" s="4"/>
      <c r="M19" s="11"/>
    </row>
    <row r="20" spans="1:13" ht="31.5" x14ac:dyDescent="0.25">
      <c r="A20" s="8"/>
      <c r="B20" s="62" t="s">
        <v>116</v>
      </c>
      <c r="C20" s="52">
        <f>(2*3.14*C12*(C13-C14)*C16/LN((C10+2*C11)/C10))*C9</f>
        <v>9.5131310996218268</v>
      </c>
      <c r="D20" s="63" t="s">
        <v>66</v>
      </c>
      <c r="E20" s="11"/>
      <c r="F20" s="31"/>
      <c r="G20" s="22"/>
      <c r="H20" s="22"/>
      <c r="I20" s="4"/>
      <c r="J20" s="4"/>
      <c r="K20" s="4"/>
      <c r="L20" s="4"/>
      <c r="M20" s="11"/>
    </row>
    <row r="21" spans="1:13" ht="15.75" customHeight="1" x14ac:dyDescent="0.25">
      <c r="A21" s="8"/>
      <c r="B21" s="64"/>
      <c r="C21" s="14"/>
      <c r="D21" s="65"/>
      <c r="E21" s="11"/>
      <c r="F21" s="8"/>
      <c r="G21" s="4"/>
      <c r="H21" s="4"/>
      <c r="I21" s="4"/>
      <c r="J21" s="4"/>
      <c r="K21" s="4"/>
      <c r="L21" s="4"/>
      <c r="M21" s="11"/>
    </row>
    <row r="22" spans="1:13" ht="15.75" customHeight="1" x14ac:dyDescent="0.25">
      <c r="A22" s="8"/>
      <c r="B22" s="66" t="s">
        <v>54</v>
      </c>
      <c r="C22" s="134" t="s">
        <v>55</v>
      </c>
      <c r="D22" s="135"/>
      <c r="E22" s="11"/>
      <c r="F22" s="8"/>
      <c r="G22" s="4"/>
      <c r="H22" s="4"/>
      <c r="I22" s="4"/>
      <c r="J22" s="4"/>
      <c r="K22" s="4"/>
      <c r="L22" s="4"/>
      <c r="M22" s="11"/>
    </row>
    <row r="23" spans="1:13" ht="17.25" customHeight="1" x14ac:dyDescent="0.25">
      <c r="A23" s="8"/>
      <c r="B23" s="79" t="s">
        <v>79</v>
      </c>
      <c r="C23" s="89">
        <f>IF(AND(C22="Resistive cable",C15=230),VLOOKUP(B23,Sheet3!B16:D24,2,0),IF(AND(C15=230,C22="Self-limiting cable"),VLOOKUP(B23,Sheet3!F16:H26,2,0),IF(AND(C22="Resistive cable",C15=220),VLOOKUP(B23,Sheet3!B27:D34,2,0),IF(AND(C15=220,C22="Self-limiting cable"),VLOOKUP(B23,Sheet3!F27:H35,2,0),IF(AND(C22="Resistive cable",C15=240),VLOOKUP(B23,Sheet3!B42:D49,2,0),IF(AND(C15=240,C22="Self-limiting cable"),VLOOKUP(B23,Sheet3!F42:H50,2,0)))))))</f>
        <v>10</v>
      </c>
      <c r="D23" s="72" t="str">
        <f>IF(C22="Resistive cable","W/m",TEXT("W/m @ "&amp; C13 &amp; " °C",))</f>
        <v>W/m</v>
      </c>
      <c r="E23" s="11"/>
      <c r="F23" s="8"/>
      <c r="G23" s="4"/>
      <c r="H23" s="4"/>
      <c r="I23" s="4"/>
      <c r="J23" s="4"/>
      <c r="K23" s="4"/>
      <c r="L23" s="4"/>
      <c r="M23" s="11"/>
    </row>
    <row r="24" spans="1:13" ht="17.25" customHeight="1" x14ac:dyDescent="0.25">
      <c r="A24" s="8"/>
      <c r="B24" s="75" t="s">
        <v>117</v>
      </c>
      <c r="C24" s="76">
        <f>ROUNDUP(C20/C23,0)</f>
        <v>1</v>
      </c>
      <c r="D24" s="73" t="s">
        <v>62</v>
      </c>
      <c r="E24" s="11"/>
      <c r="F24" s="8"/>
      <c r="G24" s="4"/>
      <c r="H24" s="4"/>
      <c r="I24" s="4"/>
      <c r="J24" s="4"/>
      <c r="K24" s="4"/>
      <c r="L24" s="4"/>
      <c r="M24" s="11"/>
    </row>
    <row r="25" spans="1:13" ht="47.25" x14ac:dyDescent="0.25">
      <c r="A25" s="8"/>
      <c r="B25" s="78" t="s">
        <v>123</v>
      </c>
      <c r="C25" s="77" t="str">
        <f>IF(C24&gt;C9,(C9*3.14*C10*0.001)/(SQRT(C24*C24-C9*C9))*100,"Use INLINE installation")</f>
        <v>Use INLINE installation</v>
      </c>
      <c r="D25" s="74" t="s">
        <v>118</v>
      </c>
      <c r="E25" s="11"/>
      <c r="F25" s="8"/>
      <c r="G25" s="4"/>
      <c r="H25" s="4"/>
      <c r="I25" s="4"/>
      <c r="J25" s="4"/>
      <c r="K25" s="4"/>
      <c r="L25" s="4"/>
      <c r="M25" s="11"/>
    </row>
    <row r="26" spans="1:13" ht="73.5" customHeight="1" x14ac:dyDescent="0.25">
      <c r="A26" s="8"/>
      <c r="B26" s="148"/>
      <c r="C26" s="149"/>
      <c r="D26" s="150"/>
      <c r="E26" s="11"/>
      <c r="F26" s="8"/>
      <c r="G26" s="4"/>
      <c r="H26" s="4"/>
      <c r="I26" s="4"/>
      <c r="J26" s="4"/>
      <c r="K26" s="4"/>
      <c r="L26" s="4"/>
      <c r="M26" s="11"/>
    </row>
    <row r="27" spans="1:13" ht="31.5" x14ac:dyDescent="0.25">
      <c r="A27" s="8"/>
      <c r="B27" s="70" t="s">
        <v>119</v>
      </c>
      <c r="C27" s="53">
        <v>0</v>
      </c>
      <c r="D27" s="74" t="s">
        <v>120</v>
      </c>
      <c r="E27" s="11"/>
      <c r="F27" s="8"/>
      <c r="G27" s="4"/>
      <c r="H27" s="4"/>
      <c r="I27" s="4"/>
      <c r="J27" s="4"/>
      <c r="K27" s="4"/>
      <c r="L27" s="4"/>
      <c r="M27" s="11"/>
    </row>
    <row r="28" spans="1:13" ht="17.25" customHeight="1" x14ac:dyDescent="0.25">
      <c r="A28" s="8"/>
      <c r="B28" s="82" t="s">
        <v>70</v>
      </c>
      <c r="C28" s="90">
        <f>C24+0.5*C27</f>
        <v>1</v>
      </c>
      <c r="D28" s="68" t="s">
        <v>62</v>
      </c>
      <c r="E28" s="11"/>
      <c r="F28" s="8"/>
      <c r="G28" s="4"/>
      <c r="H28" s="4"/>
      <c r="I28" s="4"/>
      <c r="J28" s="4"/>
      <c r="K28" s="4"/>
      <c r="L28" s="4"/>
      <c r="M28" s="11"/>
    </row>
    <row r="29" spans="1:13" ht="17.25" customHeight="1" x14ac:dyDescent="0.25">
      <c r="A29" s="8"/>
      <c r="B29" s="82" t="s">
        <v>71</v>
      </c>
      <c r="C29" s="90">
        <f>C28*C23</f>
        <v>10</v>
      </c>
      <c r="D29" s="86" t="s">
        <v>66</v>
      </c>
      <c r="E29" s="11"/>
      <c r="F29" s="8"/>
      <c r="G29" s="4"/>
      <c r="H29" s="4"/>
      <c r="I29" s="4"/>
      <c r="J29" s="4"/>
      <c r="K29" s="4"/>
      <c r="L29" s="4"/>
      <c r="M29" s="11"/>
    </row>
    <row r="30" spans="1:13" ht="17.25" customHeight="1" x14ac:dyDescent="0.25">
      <c r="A30" s="8"/>
      <c r="B30" s="91" t="s">
        <v>125</v>
      </c>
      <c r="C30" s="90">
        <f>IF(C17="Plastic", C28*2,C28)</f>
        <v>1</v>
      </c>
      <c r="D30" s="86" t="s">
        <v>62</v>
      </c>
      <c r="E30" s="11"/>
      <c r="F30" s="8"/>
      <c r="G30" s="4"/>
      <c r="H30" s="4"/>
      <c r="I30" s="4"/>
      <c r="J30" s="4"/>
      <c r="K30" s="4"/>
      <c r="L30" s="4"/>
      <c r="M30" s="11"/>
    </row>
    <row r="31" spans="1:13" ht="16.5" thickBot="1" x14ac:dyDescent="0.3">
      <c r="A31" s="8"/>
      <c r="B31" s="61" t="s">
        <v>126</v>
      </c>
      <c r="C31" s="138" t="s">
        <v>106</v>
      </c>
      <c r="D31" s="139"/>
      <c r="E31" s="11"/>
      <c r="F31" s="8"/>
      <c r="G31" s="4"/>
      <c r="H31" s="4"/>
      <c r="I31" s="4"/>
      <c r="J31" s="4"/>
      <c r="K31" s="4"/>
      <c r="L31" s="4"/>
      <c r="M31" s="11"/>
    </row>
    <row r="32" spans="1:13" ht="15.75" x14ac:dyDescent="0.25">
      <c r="A32" s="8"/>
      <c r="B32" s="83"/>
      <c r="C32" s="3"/>
      <c r="D32" s="83"/>
      <c r="E32" s="11"/>
      <c r="F32" s="8"/>
      <c r="G32" s="4"/>
      <c r="H32" s="4"/>
      <c r="I32" s="4"/>
      <c r="J32" s="4"/>
      <c r="K32" s="4"/>
      <c r="L32" s="4"/>
      <c r="M32" s="11"/>
    </row>
    <row r="33" spans="1:21" ht="18.75" x14ac:dyDescent="0.25">
      <c r="A33" s="8"/>
      <c r="B33" s="133" t="s">
        <v>7</v>
      </c>
      <c r="C33" s="133"/>
      <c r="D33" s="133"/>
      <c r="E33" s="11"/>
      <c r="F33" s="8"/>
      <c r="G33" s="4"/>
      <c r="H33" s="4"/>
      <c r="I33" s="4"/>
      <c r="J33" s="4"/>
      <c r="K33" s="4"/>
      <c r="L33" s="4"/>
      <c r="M33" s="11"/>
    </row>
    <row r="34" spans="1:21" ht="48.75" customHeight="1" x14ac:dyDescent="0.25">
      <c r="A34" s="8"/>
      <c r="B34" s="104" t="s">
        <v>51</v>
      </c>
      <c r="C34" s="104"/>
      <c r="D34" s="104"/>
      <c r="E34" s="11"/>
      <c r="F34" s="8"/>
      <c r="G34" s="4"/>
      <c r="H34" s="4"/>
      <c r="I34" s="4"/>
      <c r="J34" s="4"/>
      <c r="K34" s="4"/>
      <c r="L34" s="4"/>
      <c r="M34" s="11"/>
    </row>
    <row r="35" spans="1:21" ht="32.25" customHeight="1" x14ac:dyDescent="0.25">
      <c r="A35" s="8"/>
      <c r="B35" s="104" t="s">
        <v>127</v>
      </c>
      <c r="C35" s="104"/>
      <c r="D35" s="104"/>
      <c r="E35" s="11"/>
      <c r="F35" s="32"/>
      <c r="G35" s="20"/>
      <c r="H35" s="20"/>
      <c r="I35" s="20"/>
      <c r="J35" s="20"/>
      <c r="K35" s="20"/>
      <c r="L35" s="20"/>
      <c r="M35" s="40"/>
    </row>
    <row r="36" spans="1:21" ht="33" customHeight="1" thickBot="1" x14ac:dyDescent="0.3">
      <c r="A36" s="8"/>
      <c r="B36" s="143" t="s">
        <v>52</v>
      </c>
      <c r="C36" s="144"/>
      <c r="D36" s="144"/>
      <c r="E36" s="11"/>
      <c r="F36" s="27"/>
      <c r="G36" s="20"/>
      <c r="H36" s="20"/>
      <c r="I36" s="20"/>
      <c r="J36" s="20"/>
      <c r="K36" s="20"/>
      <c r="L36" s="20"/>
      <c r="M36" s="40"/>
      <c r="N36" s="17"/>
      <c r="O36" s="17"/>
      <c r="P36" s="17"/>
      <c r="Q36" s="17"/>
      <c r="R36" s="17"/>
      <c r="S36" s="17"/>
      <c r="T36" s="17"/>
      <c r="U36" s="4"/>
    </row>
    <row r="37" spans="1:21" ht="16.5" thickBot="1" x14ac:dyDescent="0.3">
      <c r="A37" s="8"/>
      <c r="B37" s="145" t="s">
        <v>53</v>
      </c>
      <c r="C37" s="146"/>
      <c r="D37" s="147"/>
      <c r="E37" s="11"/>
      <c r="F37" s="25"/>
      <c r="G37" s="102" t="s">
        <v>91</v>
      </c>
      <c r="H37" s="103"/>
      <c r="I37" s="92"/>
      <c r="J37" s="20"/>
      <c r="K37" s="20"/>
      <c r="L37" s="20"/>
      <c r="M37" s="40"/>
      <c r="N37" s="26"/>
      <c r="O37" s="26"/>
      <c r="P37" s="26"/>
      <c r="Q37" s="26"/>
      <c r="R37" s="26"/>
      <c r="S37" s="26"/>
      <c r="T37" s="26"/>
      <c r="U37" s="4"/>
    </row>
    <row r="38" spans="1:21" ht="16.5" thickBot="1" x14ac:dyDescent="0.3">
      <c r="A38" s="12"/>
      <c r="B38" s="84"/>
      <c r="C38" s="84"/>
      <c r="D38" s="84"/>
      <c r="E38" s="13"/>
      <c r="F38" s="44"/>
      <c r="G38" s="45"/>
      <c r="H38" s="46"/>
      <c r="I38" s="46"/>
      <c r="J38" s="46"/>
      <c r="K38" s="46"/>
      <c r="L38" s="46"/>
      <c r="M38" s="47"/>
      <c r="N38" s="21"/>
      <c r="O38" s="21"/>
      <c r="P38" s="21"/>
      <c r="Q38" s="21"/>
      <c r="R38" s="19"/>
      <c r="S38" s="19"/>
      <c r="T38" s="19"/>
      <c r="U38" s="4"/>
    </row>
    <row r="39" spans="1:21" ht="15.75" x14ac:dyDescent="0.25">
      <c r="A39" s="4"/>
      <c r="B39" s="81"/>
      <c r="C39" s="81"/>
      <c r="D39" s="81"/>
      <c r="E39" s="4"/>
      <c r="F39" s="24"/>
      <c r="G39" s="36"/>
      <c r="H39" s="37"/>
      <c r="I39" s="37"/>
      <c r="J39" s="37"/>
      <c r="K39" s="38"/>
      <c r="L39" s="37"/>
      <c r="M39" s="38"/>
      <c r="N39" s="19"/>
      <c r="O39" s="19"/>
      <c r="P39" s="19"/>
      <c r="Q39" s="19"/>
      <c r="R39" s="19"/>
      <c r="S39" s="19"/>
      <c r="T39" s="19"/>
      <c r="U39" s="4"/>
    </row>
    <row r="40" spans="1:21" ht="15.75" x14ac:dyDescent="0.25">
      <c r="A40" s="4"/>
      <c r="B40" s="81"/>
      <c r="C40" s="81"/>
      <c r="D40" s="81"/>
      <c r="E40" s="4"/>
      <c r="F40" s="24"/>
      <c r="G40" s="36"/>
      <c r="H40" s="38"/>
      <c r="I40" s="38"/>
      <c r="J40" s="38"/>
      <c r="K40" s="38"/>
      <c r="L40" s="38"/>
      <c r="M40" s="38"/>
      <c r="N40" s="19"/>
      <c r="O40" s="19"/>
      <c r="P40" s="19"/>
      <c r="Q40" s="19"/>
      <c r="R40" s="19"/>
      <c r="S40" s="19"/>
      <c r="T40" s="19"/>
      <c r="U40" s="4"/>
    </row>
    <row r="41" spans="1:21" x14ac:dyDescent="0.25">
      <c r="A41" s="4"/>
      <c r="B41" s="81"/>
      <c r="C41" s="81"/>
      <c r="D41" s="81"/>
      <c r="E41" s="4"/>
      <c r="F41" s="43"/>
      <c r="G41" s="3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5.75" customHeight="1" x14ac:dyDescent="0.25">
      <c r="A42" s="4"/>
      <c r="B42" s="81"/>
      <c r="C42" s="81"/>
      <c r="D42" s="81"/>
      <c r="E42" s="4"/>
      <c r="F42" s="4"/>
      <c r="G42" s="24"/>
      <c r="H42" s="20"/>
      <c r="I42" s="20"/>
      <c r="J42" s="20"/>
      <c r="K42" s="20"/>
      <c r="L42" s="20"/>
      <c r="M42" s="20"/>
      <c r="N42" s="4"/>
    </row>
    <row r="43" spans="1:21" ht="15.75" x14ac:dyDescent="0.25">
      <c r="A43" s="4"/>
      <c r="B43" s="81"/>
      <c r="C43" s="81"/>
      <c r="D43" s="81"/>
      <c r="E43" s="4"/>
      <c r="F43" s="4"/>
      <c r="G43" s="24"/>
      <c r="H43" s="35"/>
      <c r="I43" s="35"/>
      <c r="J43" s="35"/>
      <c r="K43" s="35"/>
      <c r="L43" s="35"/>
      <c r="M43" s="35"/>
      <c r="N43" s="4"/>
    </row>
    <row r="44" spans="1:21" ht="15.75" x14ac:dyDescent="0.25">
      <c r="A44" s="4"/>
      <c r="B44" s="81"/>
      <c r="C44" s="81"/>
      <c r="D44" s="81"/>
      <c r="E44" s="4"/>
      <c r="F44" s="4"/>
      <c r="G44" s="36"/>
      <c r="H44" s="38"/>
      <c r="I44" s="38"/>
      <c r="J44" s="38"/>
      <c r="K44" s="38"/>
      <c r="L44" s="38"/>
      <c r="M44" s="38"/>
      <c r="N44" s="4"/>
    </row>
    <row r="45" spans="1:21" ht="15.75" x14ac:dyDescent="0.25">
      <c r="A45" s="4"/>
      <c r="B45" s="81"/>
      <c r="C45" s="81"/>
      <c r="D45" s="81"/>
      <c r="E45" s="4"/>
      <c r="F45" s="4"/>
      <c r="G45" s="36"/>
      <c r="H45" s="38"/>
      <c r="I45" s="38"/>
      <c r="J45" s="38"/>
      <c r="K45" s="38"/>
      <c r="L45" s="38"/>
      <c r="M45" s="38"/>
      <c r="N45" s="4"/>
    </row>
    <row r="46" spans="1:21" x14ac:dyDescent="0.25">
      <c r="A46" s="4"/>
      <c r="B46" s="81"/>
      <c r="C46" s="81"/>
      <c r="D46" s="8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1" x14ac:dyDescent="0.25">
      <c r="A47" s="4"/>
      <c r="B47" s="81"/>
      <c r="C47" s="81"/>
      <c r="D47" s="81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21" x14ac:dyDescent="0.25">
      <c r="A48" s="4"/>
      <c r="B48" s="81"/>
      <c r="C48" s="81"/>
      <c r="D48" s="81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 s="4"/>
      <c r="B49" s="81"/>
      <c r="C49" s="81"/>
      <c r="D49" s="81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4"/>
      <c r="B50" s="81"/>
      <c r="C50" s="81"/>
      <c r="D50" s="81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 s="4"/>
      <c r="B51" s="81"/>
      <c r="C51" s="81"/>
      <c r="D51" s="81"/>
      <c r="E51" s="4"/>
      <c r="F51" s="4"/>
    </row>
  </sheetData>
  <sheetProtection algorithmName="SHA-512" hashValue="9m3XXN8sK+oruyaxzVEMFmoHVSYxALHlly/7XIGzAFVMIJapRSD1g6ungpiBN0Vkj5mrwzlMQxhzCmPas7z29Q==" saltValue="od1XdXunW67NQHPolU3zkQ==" spinCount="100000" sheet="1" objects="1" scenarios="1"/>
  <mergeCells count="17">
    <mergeCell ref="G37:H37"/>
    <mergeCell ref="B35:D35"/>
    <mergeCell ref="B36:D36"/>
    <mergeCell ref="B37:D37"/>
    <mergeCell ref="B26:D26"/>
    <mergeCell ref="B34:D34"/>
    <mergeCell ref="C17:D17"/>
    <mergeCell ref="B19:D19"/>
    <mergeCell ref="C22:D22"/>
    <mergeCell ref="C31:D31"/>
    <mergeCell ref="B33:D33"/>
    <mergeCell ref="B8:D8"/>
    <mergeCell ref="A1:M2"/>
    <mergeCell ref="A3:M3"/>
    <mergeCell ref="A4:E4"/>
    <mergeCell ref="F4:M4"/>
    <mergeCell ref="B6:D6"/>
  </mergeCells>
  <dataValidations count="1">
    <dataValidation type="list" allowBlank="1" showInputMessage="1" showErrorMessage="1" sqref="B23" xr:uid="{B94A7323-39A4-4A69-A803-50E811F90DAB}">
      <formula1>IF(C22="Self-limiting cable",Self,IF(C17="Plastic",Plastic1,IF(C22="Resistive cable",Resistive)))</formula1>
    </dataValidation>
  </dataValidations>
  <pageMargins left="0" right="0" top="0" bottom="0" header="0.31496062992125984" footer="0.31496062992125984"/>
  <pageSetup paperSize="9" scale="75" orientation="landscape" r:id="rId1"/>
  <headerFooter>
    <oddFooter>&amp;C&amp;1#&amp;"Calibri"&amp;10&amp;K000000Classified as Business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908F18-6685-4312-8FB2-5E7EAB9ECF43}">
          <x14:formula1>
            <xm:f>Sheet2!$C$18:$C$23</xm:f>
          </x14:formula1>
          <xm:sqref>C31:D31</xm:sqref>
        </x14:dataValidation>
        <x14:dataValidation type="list" allowBlank="1" showInputMessage="1" showErrorMessage="1" xr:uid="{F6E36733-6151-4091-B248-E1C19E2C8A3E}">
          <x14:formula1>
            <xm:f>Sheet2!$L$12:$L$14</xm:f>
          </x14:formula1>
          <xm:sqref>C15</xm:sqref>
        </x14:dataValidation>
        <x14:dataValidation type="list" allowBlank="1" showInputMessage="1" showErrorMessage="1" xr:uid="{032BE535-E393-4875-9CC2-C518EBF6BB13}">
          <x14:formula1>
            <xm:f>Sheet2!$C$14:$C$15</xm:f>
          </x14:formula1>
          <xm:sqref>C17:D17</xm:sqref>
        </x14:dataValidation>
        <x14:dataValidation type="list" allowBlank="1" showInputMessage="1" showErrorMessage="1" xr:uid="{51D5A4B4-21F9-496D-8DB6-0046C123EF38}">
          <x14:formula1>
            <xm:f>Sheet2!$C$11:$C$12</xm:f>
          </x14:formula1>
          <xm:sqref>C22:D22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3"/>
  <sheetViews>
    <sheetView workbookViewId="0">
      <selection activeCell="E25" sqref="E25"/>
    </sheetView>
  </sheetViews>
  <sheetFormatPr defaultRowHeight="15" x14ac:dyDescent="0.25"/>
  <cols>
    <col min="1" max="1" width="2.42578125" customWidth="1"/>
    <col min="2" max="2" width="11.5703125" bestFit="1" customWidth="1"/>
    <col min="3" max="3" width="15.42578125" customWidth="1"/>
    <col min="4" max="5" width="4.140625" bestFit="1" customWidth="1"/>
    <col min="6" max="6" width="3.28515625" bestFit="1" customWidth="1"/>
    <col min="7" max="8" width="5.85546875" bestFit="1" customWidth="1"/>
    <col min="9" max="9" width="3.28515625" bestFit="1" customWidth="1"/>
    <col min="10" max="10" width="5.85546875" bestFit="1" customWidth="1"/>
    <col min="11" max="11" width="3.28515625" bestFit="1" customWidth="1"/>
    <col min="12" max="12" width="5.85546875" bestFit="1" customWidth="1"/>
    <col min="13" max="13" width="4.42578125" bestFit="1" customWidth="1"/>
    <col min="14" max="14" width="5.85546875" bestFit="1" customWidth="1"/>
    <col min="15" max="15" width="4.42578125" customWidth="1"/>
    <col min="16" max="19" width="4.42578125" bestFit="1" customWidth="1"/>
  </cols>
  <sheetData>
    <row r="2" spans="1:24" ht="15.75" x14ac:dyDescent="0.25">
      <c r="A2" s="4"/>
      <c r="B2" s="153" t="s">
        <v>12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24" ht="15.75" x14ac:dyDescent="0.25">
      <c r="A3" s="4"/>
      <c r="B3" s="152" t="s">
        <v>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24" ht="15.75" x14ac:dyDescent="0.25">
      <c r="A4" s="4"/>
      <c r="B4" s="154" t="s">
        <v>14</v>
      </c>
      <c r="C4" s="15" t="s">
        <v>16</v>
      </c>
      <c r="D4" s="48" t="s">
        <v>17</v>
      </c>
      <c r="E4" s="48" t="s">
        <v>18</v>
      </c>
      <c r="F4" s="48" t="s">
        <v>19</v>
      </c>
      <c r="G4" s="48" t="s">
        <v>110</v>
      </c>
      <c r="H4" s="48" t="s">
        <v>20</v>
      </c>
      <c r="I4" s="48" t="s">
        <v>21</v>
      </c>
      <c r="J4" s="48" t="s">
        <v>22</v>
      </c>
      <c r="K4" s="48" t="s">
        <v>23</v>
      </c>
      <c r="L4" s="48" t="s">
        <v>24</v>
      </c>
      <c r="M4" s="48" t="s">
        <v>25</v>
      </c>
      <c r="N4" s="48" t="s">
        <v>26</v>
      </c>
      <c r="O4" s="48" t="s">
        <v>27</v>
      </c>
      <c r="P4" s="48" t="s">
        <v>28</v>
      </c>
      <c r="Q4" s="48">
        <v>8</v>
      </c>
      <c r="R4" s="48">
        <v>10</v>
      </c>
      <c r="S4" s="48">
        <v>12</v>
      </c>
    </row>
    <row r="5" spans="1:24" ht="15.75" x14ac:dyDescent="0.25">
      <c r="A5" s="4"/>
      <c r="B5" s="154"/>
      <c r="C5" s="15" t="s">
        <v>15</v>
      </c>
      <c r="D5" s="2">
        <v>15</v>
      </c>
      <c r="E5" s="2">
        <v>20</v>
      </c>
      <c r="F5" s="2">
        <v>25</v>
      </c>
      <c r="G5" s="2">
        <v>32</v>
      </c>
      <c r="H5" s="2">
        <v>40</v>
      </c>
      <c r="I5" s="2">
        <v>50</v>
      </c>
      <c r="J5" s="2">
        <v>65</v>
      </c>
      <c r="K5" s="2">
        <v>80</v>
      </c>
      <c r="L5" s="2">
        <v>90</v>
      </c>
      <c r="M5" s="2">
        <v>100</v>
      </c>
      <c r="N5" s="2">
        <v>115</v>
      </c>
      <c r="O5" s="2">
        <v>125</v>
      </c>
      <c r="P5" s="2">
        <v>150</v>
      </c>
      <c r="Q5" s="2">
        <v>200</v>
      </c>
      <c r="R5" s="2">
        <v>250</v>
      </c>
      <c r="S5" s="2">
        <v>300</v>
      </c>
    </row>
    <row r="6" spans="1:24" ht="30" customHeight="1" x14ac:dyDescent="0.25">
      <c r="A6" s="4"/>
      <c r="B6" s="154" t="s">
        <v>49</v>
      </c>
      <c r="C6" s="154"/>
      <c r="D6" s="2">
        <v>21</v>
      </c>
      <c r="E6" s="2">
        <v>27</v>
      </c>
      <c r="F6" s="2">
        <v>34</v>
      </c>
      <c r="G6" s="2">
        <v>42</v>
      </c>
      <c r="H6" s="2">
        <v>48</v>
      </c>
      <c r="I6" s="2">
        <v>60</v>
      </c>
      <c r="J6" s="2">
        <v>73</v>
      </c>
      <c r="K6" s="2">
        <v>89</v>
      </c>
      <c r="L6" s="2">
        <v>102</v>
      </c>
      <c r="M6" s="2">
        <v>114</v>
      </c>
      <c r="N6" s="2">
        <v>127</v>
      </c>
      <c r="O6" s="2">
        <v>141</v>
      </c>
      <c r="P6" s="2">
        <v>168</v>
      </c>
      <c r="Q6" s="2">
        <v>219</v>
      </c>
      <c r="R6" s="2">
        <v>273</v>
      </c>
      <c r="S6" s="2">
        <v>324</v>
      </c>
    </row>
    <row r="7" spans="1:24" ht="15.75" customHeight="1" x14ac:dyDescent="0.25">
      <c r="A7" s="4"/>
      <c r="B7" s="151" t="s">
        <v>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1:24" x14ac:dyDescent="0.25">
      <c r="A8" s="4"/>
      <c r="B8" s="151" t="s">
        <v>50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</row>
    <row r="9" spans="1:24" x14ac:dyDescent="0.25">
      <c r="A9" s="4"/>
    </row>
    <row r="11" spans="1:24" x14ac:dyDescent="0.25">
      <c r="C11" t="s">
        <v>55</v>
      </c>
      <c r="L11" s="49" t="s">
        <v>85</v>
      </c>
    </row>
    <row r="12" spans="1:24" x14ac:dyDescent="0.25">
      <c r="C12" t="s">
        <v>56</v>
      </c>
      <c r="L12" s="50">
        <v>220</v>
      </c>
      <c r="V12" t="s">
        <v>111</v>
      </c>
      <c r="W12">
        <v>230</v>
      </c>
      <c r="X12" t="s">
        <v>75</v>
      </c>
    </row>
    <row r="13" spans="1:24" x14ac:dyDescent="0.25">
      <c r="L13" s="50">
        <v>230</v>
      </c>
      <c r="V13" t="s">
        <v>112</v>
      </c>
      <c r="W13">
        <v>24</v>
      </c>
      <c r="X13" t="s">
        <v>75</v>
      </c>
    </row>
    <row r="14" spans="1:24" x14ac:dyDescent="0.25">
      <c r="C14" t="s">
        <v>64</v>
      </c>
      <c r="L14" s="50">
        <v>240</v>
      </c>
      <c r="V14" t="s">
        <v>113</v>
      </c>
      <c r="W14">
        <v>33</v>
      </c>
      <c r="X14" t="s">
        <v>1</v>
      </c>
    </row>
    <row r="15" spans="1:24" x14ac:dyDescent="0.25">
      <c r="C15" t="s">
        <v>65</v>
      </c>
      <c r="L15" s="50"/>
      <c r="V15" t="s">
        <v>114</v>
      </c>
      <c r="W15" s="69">
        <f>W14/(W12*W12/(W13*W13))</f>
        <v>0.35931947069943293</v>
      </c>
      <c r="X15" t="s">
        <v>1</v>
      </c>
    </row>
    <row r="16" spans="1:24" x14ac:dyDescent="0.25">
      <c r="L16" s="50"/>
    </row>
    <row r="18" spans="3:3" x14ac:dyDescent="0.25">
      <c r="C18" t="s">
        <v>106</v>
      </c>
    </row>
    <row r="19" spans="3:3" x14ac:dyDescent="0.25">
      <c r="C19" t="s">
        <v>107</v>
      </c>
    </row>
    <row r="20" spans="3:3" x14ac:dyDescent="0.25">
      <c r="C20" t="s">
        <v>98</v>
      </c>
    </row>
    <row r="21" spans="3:3" x14ac:dyDescent="0.25">
      <c r="C21" t="s">
        <v>108</v>
      </c>
    </row>
    <row r="22" spans="3:3" x14ac:dyDescent="0.25">
      <c r="C22" t="s">
        <v>109</v>
      </c>
    </row>
    <row r="23" spans="3:3" x14ac:dyDescent="0.25">
      <c r="C23" t="s">
        <v>124</v>
      </c>
    </row>
  </sheetData>
  <mergeCells count="6">
    <mergeCell ref="B8:L8"/>
    <mergeCell ref="B3:S3"/>
    <mergeCell ref="B2:S2"/>
    <mergeCell ref="B7:L7"/>
    <mergeCell ref="B6:C6"/>
    <mergeCell ref="B4:B5"/>
  </mergeCells>
  <pageMargins left="0.7" right="0.7" top="0.75" bottom="0.75" header="0.3" footer="0.3"/>
  <pageSetup paperSize="9" orientation="portrait" r:id="rId1"/>
  <headerFooter>
    <oddFooter>&amp;C&amp;1#&amp;"Calibri"&amp;10&amp;K000000Classified as Business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54"/>
  <sheetViews>
    <sheetView topLeftCell="A22" workbookViewId="0">
      <selection activeCell="F50" sqref="F50"/>
    </sheetView>
  </sheetViews>
  <sheetFormatPr defaultRowHeight="15" x14ac:dyDescent="0.25"/>
  <cols>
    <col min="2" max="2" width="19.7109375" style="88" customWidth="1"/>
    <col min="3" max="3" width="18.85546875" customWidth="1"/>
    <col min="4" max="4" width="18" customWidth="1"/>
    <col min="5" max="5" width="19.140625" customWidth="1"/>
    <col min="6" max="6" width="18.85546875" customWidth="1"/>
    <col min="7" max="7" width="16.5703125" customWidth="1"/>
    <col min="8" max="8" width="16.85546875" customWidth="1"/>
    <col min="9" max="9" width="17.42578125" customWidth="1"/>
    <col min="10" max="11" width="16.7109375" bestFit="1" customWidth="1"/>
    <col min="12" max="14" width="14.7109375" bestFit="1" customWidth="1"/>
  </cols>
  <sheetData>
    <row r="2" spans="2:14" ht="15.75" x14ac:dyDescent="0.25">
      <c r="B2" s="161" t="s">
        <v>32</v>
      </c>
      <c r="C2" s="161"/>
      <c r="D2" s="161"/>
      <c r="E2" s="161"/>
      <c r="F2" s="161"/>
      <c r="G2" s="161"/>
      <c r="H2" s="93"/>
      <c r="I2" s="93"/>
      <c r="J2" s="93"/>
      <c r="K2" s="93"/>
      <c r="L2" s="93"/>
      <c r="M2" s="93"/>
      <c r="N2" s="93"/>
    </row>
    <row r="3" spans="2:14" ht="15.75" customHeight="1" x14ac:dyDescent="0.25">
      <c r="B3" s="161" t="s">
        <v>29</v>
      </c>
      <c r="C3" s="161"/>
      <c r="D3" s="161"/>
      <c r="E3" s="161"/>
      <c r="F3" s="161"/>
      <c r="G3" s="161"/>
      <c r="H3" s="93"/>
      <c r="I3" s="93"/>
      <c r="J3" s="93"/>
      <c r="K3" s="93"/>
      <c r="L3" s="93"/>
      <c r="M3" s="93"/>
      <c r="N3" s="93"/>
    </row>
    <row r="4" spans="2:14" ht="15.75" x14ac:dyDescent="0.25">
      <c r="B4" s="154" t="s">
        <v>30</v>
      </c>
      <c r="C4" s="161" t="s">
        <v>86</v>
      </c>
      <c r="D4" s="161"/>
      <c r="E4" s="161"/>
      <c r="F4" s="161"/>
      <c r="G4" s="161"/>
      <c r="H4" s="93"/>
    </row>
    <row r="5" spans="2:14" ht="15.75" x14ac:dyDescent="0.25">
      <c r="B5" s="154"/>
      <c r="C5" s="28" t="s">
        <v>72</v>
      </c>
      <c r="D5" s="28" t="s">
        <v>87</v>
      </c>
      <c r="E5" s="28" t="s">
        <v>88</v>
      </c>
      <c r="F5" s="28" t="s">
        <v>89</v>
      </c>
      <c r="G5" s="28" t="s">
        <v>90</v>
      </c>
    </row>
    <row r="6" spans="2:14" ht="45" x14ac:dyDescent="0.25">
      <c r="B6" s="33" t="s">
        <v>31</v>
      </c>
      <c r="C6" s="94" t="s">
        <v>33</v>
      </c>
      <c r="D6" s="94" t="s">
        <v>34</v>
      </c>
      <c r="E6" s="94" t="s">
        <v>35</v>
      </c>
      <c r="F6" s="94" t="s">
        <v>37</v>
      </c>
      <c r="G6" s="94" t="s">
        <v>36</v>
      </c>
    </row>
    <row r="7" spans="2:14" x14ac:dyDescent="0.25">
      <c r="B7" s="34"/>
      <c r="C7" s="29"/>
      <c r="D7" s="29"/>
      <c r="E7" s="29"/>
      <c r="F7" s="29"/>
      <c r="G7" s="29"/>
      <c r="H7" s="18"/>
    </row>
    <row r="8" spans="2:14" ht="15.75" customHeight="1" x14ac:dyDescent="0.25">
      <c r="B8" s="159" t="s">
        <v>30</v>
      </c>
      <c r="C8" s="158" t="s">
        <v>92</v>
      </c>
      <c r="D8" s="158"/>
      <c r="E8" s="158"/>
      <c r="F8" s="158"/>
      <c r="G8" s="158"/>
      <c r="H8" s="158"/>
    </row>
    <row r="9" spans="2:14" ht="15.75" x14ac:dyDescent="0.25">
      <c r="B9" s="160"/>
      <c r="C9" s="28" t="s">
        <v>73</v>
      </c>
      <c r="D9" s="28" t="s">
        <v>93</v>
      </c>
      <c r="E9" s="28" t="s">
        <v>94</v>
      </c>
      <c r="F9" s="28" t="s">
        <v>95</v>
      </c>
      <c r="G9" s="28" t="s">
        <v>96</v>
      </c>
      <c r="H9" s="28" t="s">
        <v>97</v>
      </c>
    </row>
    <row r="10" spans="2:14" ht="45" x14ac:dyDescent="0.25">
      <c r="B10" s="87" t="s">
        <v>31</v>
      </c>
      <c r="C10" s="95" t="s">
        <v>38</v>
      </c>
      <c r="D10" s="95" t="s">
        <v>39</v>
      </c>
      <c r="E10" s="95" t="s">
        <v>40</v>
      </c>
      <c r="F10" s="95" t="s">
        <v>41</v>
      </c>
      <c r="G10" s="95" t="s">
        <v>42</v>
      </c>
      <c r="H10" s="95" t="s">
        <v>43</v>
      </c>
    </row>
    <row r="11" spans="2:14" ht="15.75" customHeight="1" x14ac:dyDescent="0.25"/>
    <row r="12" spans="2:14" ht="15.75" x14ac:dyDescent="0.25">
      <c r="B12" s="96" t="s">
        <v>45</v>
      </c>
      <c r="C12" s="97"/>
      <c r="D12" s="97"/>
    </row>
    <row r="14" spans="2:14" ht="15.75" thickBot="1" x14ac:dyDescent="0.3"/>
    <row r="15" spans="2:14" ht="15.75" thickBot="1" x14ac:dyDescent="0.3">
      <c r="B15" s="155">
        <v>230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7"/>
    </row>
    <row r="16" spans="2:14" x14ac:dyDescent="0.25">
      <c r="B16" s="98" t="s">
        <v>82</v>
      </c>
      <c r="C16">
        <v>9</v>
      </c>
      <c r="D16" s="88" t="s">
        <v>1</v>
      </c>
      <c r="E16" s="88"/>
      <c r="F16" s="98" t="s">
        <v>100</v>
      </c>
      <c r="G16" s="71">
        <f>(-5*'Straight line installation'!C13+330)/28</f>
        <v>10.892857142857142</v>
      </c>
      <c r="H16" s="88" t="s">
        <v>57</v>
      </c>
      <c r="I16" s="88"/>
      <c r="J16" s="98" t="s">
        <v>82</v>
      </c>
      <c r="K16">
        <v>9</v>
      </c>
      <c r="L16" s="88" t="s">
        <v>1</v>
      </c>
    </row>
    <row r="17" spans="2:12" x14ac:dyDescent="0.25">
      <c r="B17" s="99" t="s">
        <v>76</v>
      </c>
      <c r="C17">
        <v>6</v>
      </c>
      <c r="D17" s="88" t="s">
        <v>1</v>
      </c>
      <c r="F17" s="42" t="s">
        <v>99</v>
      </c>
      <c r="G17" s="71">
        <f>(-5*'Straight line installation'!C13+350)/30</f>
        <v>10.833333333333334</v>
      </c>
      <c r="H17" s="88" t="s">
        <v>57</v>
      </c>
      <c r="J17" s="99" t="s">
        <v>76</v>
      </c>
      <c r="K17">
        <v>6</v>
      </c>
      <c r="L17" s="88" t="s">
        <v>1</v>
      </c>
    </row>
    <row r="18" spans="2:12" x14ac:dyDescent="0.25">
      <c r="B18" s="99" t="s">
        <v>77</v>
      </c>
      <c r="C18">
        <v>10</v>
      </c>
      <c r="D18" s="88" t="s">
        <v>1</v>
      </c>
      <c r="F18" s="99" t="s">
        <v>101</v>
      </c>
      <c r="G18" s="71">
        <f>(-14.5*'Straight line installation'!C13+1145)/40</f>
        <v>26.8125</v>
      </c>
      <c r="H18" s="88" t="s">
        <v>57</v>
      </c>
      <c r="J18" s="99" t="s">
        <v>77</v>
      </c>
      <c r="K18">
        <v>10</v>
      </c>
      <c r="L18" s="88" t="s">
        <v>1</v>
      </c>
    </row>
    <row r="19" spans="2:12" x14ac:dyDescent="0.25">
      <c r="B19" s="99" t="s">
        <v>80</v>
      </c>
      <c r="C19">
        <v>18</v>
      </c>
      <c r="D19" s="88" t="s">
        <v>1</v>
      </c>
      <c r="F19" s="99" t="s">
        <v>102</v>
      </c>
      <c r="G19" s="71">
        <f>(-18*'Straight line installation'!C13+1500)/40</f>
        <v>35.25</v>
      </c>
      <c r="H19" s="88" t="s">
        <v>57</v>
      </c>
      <c r="J19" s="41" t="s">
        <v>78</v>
      </c>
      <c r="K19">
        <v>10</v>
      </c>
      <c r="L19" s="88" t="s">
        <v>1</v>
      </c>
    </row>
    <row r="20" spans="2:12" x14ac:dyDescent="0.25">
      <c r="B20" s="99" t="s">
        <v>81</v>
      </c>
      <c r="C20">
        <v>20</v>
      </c>
      <c r="D20" s="88" t="s">
        <v>1</v>
      </c>
      <c r="F20" s="99" t="s">
        <v>83</v>
      </c>
      <c r="G20" s="71">
        <f>(-2*'Straight line installation'!C13+195)/15</f>
        <v>12.333333333333334</v>
      </c>
      <c r="H20" s="88" t="s">
        <v>58</v>
      </c>
      <c r="J20" s="41" t="s">
        <v>79</v>
      </c>
      <c r="K20">
        <v>10</v>
      </c>
      <c r="L20" s="88" t="s">
        <v>1</v>
      </c>
    </row>
    <row r="21" spans="2:12" x14ac:dyDescent="0.25">
      <c r="B21" s="41" t="s">
        <v>78</v>
      </c>
      <c r="C21">
        <v>10</v>
      </c>
      <c r="D21" s="88" t="s">
        <v>1</v>
      </c>
      <c r="F21" s="99" t="s">
        <v>103</v>
      </c>
      <c r="G21" s="71">
        <f>('Straight line installation'!C13-145)/-10</f>
        <v>14</v>
      </c>
      <c r="H21" s="88" t="s">
        <v>59</v>
      </c>
    </row>
    <row r="22" spans="2:12" x14ac:dyDescent="0.25">
      <c r="B22" s="41" t="s">
        <v>128</v>
      </c>
      <c r="C22">
        <v>20</v>
      </c>
      <c r="D22" s="88" t="s">
        <v>1</v>
      </c>
      <c r="F22" s="99" t="s">
        <v>84</v>
      </c>
      <c r="G22" s="71">
        <f>(3*'Straight line installation'!C13-450)/-20</f>
        <v>21.75</v>
      </c>
      <c r="H22" s="88" t="s">
        <v>60</v>
      </c>
      <c r="J22" s="100"/>
      <c r="L22" s="88"/>
    </row>
    <row r="23" spans="2:12" ht="30" x14ac:dyDescent="0.25">
      <c r="B23" s="41" t="s">
        <v>79</v>
      </c>
      <c r="C23">
        <v>10</v>
      </c>
      <c r="D23" s="88" t="s">
        <v>1</v>
      </c>
      <c r="F23" s="99" t="s">
        <v>104</v>
      </c>
      <c r="G23" s="71">
        <f>(-10*'Straight line installation'!C13+2500)/80</f>
        <v>30.625</v>
      </c>
      <c r="H23" s="88" t="s">
        <v>57</v>
      </c>
    </row>
    <row r="24" spans="2:12" ht="30" x14ac:dyDescent="0.25">
      <c r="F24" s="99" t="s">
        <v>105</v>
      </c>
      <c r="G24" s="71">
        <f>(-20*'Straight line installation'!C13+5000)/80</f>
        <v>61.25</v>
      </c>
      <c r="H24" s="88" t="s">
        <v>57</v>
      </c>
    </row>
    <row r="25" spans="2:12" ht="15.75" thickBot="1" x14ac:dyDescent="0.3"/>
    <row r="26" spans="2:12" ht="15.75" thickBot="1" x14ac:dyDescent="0.3">
      <c r="B26" s="155">
        <v>220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7"/>
    </row>
    <row r="27" spans="2:12" x14ac:dyDescent="0.25">
      <c r="B27" s="98" t="s">
        <v>82</v>
      </c>
      <c r="C27" s="51">
        <f t="shared" ref="C27:C34" si="0">($B$26*$B$26)/(($B$15*$B$15)/C16)</f>
        <v>8.2344045368620051</v>
      </c>
      <c r="D27" s="88" t="s">
        <v>1</v>
      </c>
      <c r="E27" s="88"/>
      <c r="F27" s="98" t="s">
        <v>100</v>
      </c>
      <c r="G27" s="51">
        <f t="shared" ref="G27:G35" si="1">($B$26*$B$26)/(($B$15*$B$15)/G16)</f>
        <v>9.9662435862813936</v>
      </c>
      <c r="H27" s="88" t="s">
        <v>57</v>
      </c>
      <c r="I27" s="88"/>
      <c r="J27" s="98" t="s">
        <v>82</v>
      </c>
      <c r="K27" s="51">
        <f>($B$26*$B$26)/(($B$15*$B$15)/K16)</f>
        <v>8.2344045368620051</v>
      </c>
      <c r="L27" s="88" t="s">
        <v>1</v>
      </c>
    </row>
    <row r="28" spans="2:12" x14ac:dyDescent="0.25">
      <c r="B28" s="99" t="s">
        <v>76</v>
      </c>
      <c r="C28" s="51">
        <f t="shared" si="0"/>
        <v>5.4896030245746692</v>
      </c>
      <c r="D28" s="88" t="s">
        <v>1</v>
      </c>
      <c r="F28" s="42" t="s">
        <v>99</v>
      </c>
      <c r="G28" s="51">
        <f t="shared" si="1"/>
        <v>9.9117832388153762</v>
      </c>
      <c r="H28" s="88" t="s">
        <v>57</v>
      </c>
      <c r="J28" s="99" t="s">
        <v>76</v>
      </c>
      <c r="K28" s="51">
        <f>($B$26*$B$26)/(($B$15*$B$15)/K17)</f>
        <v>5.4896030245746692</v>
      </c>
      <c r="L28" s="88" t="s">
        <v>1</v>
      </c>
    </row>
    <row r="29" spans="2:12" x14ac:dyDescent="0.25">
      <c r="B29" s="99" t="s">
        <v>77</v>
      </c>
      <c r="C29" s="51">
        <f t="shared" si="0"/>
        <v>9.1493383742911156</v>
      </c>
      <c r="D29" s="88" t="s">
        <v>1</v>
      </c>
      <c r="F29" s="99" t="s">
        <v>101</v>
      </c>
      <c r="G29" s="51">
        <f t="shared" si="1"/>
        <v>24.531663516068054</v>
      </c>
      <c r="H29" s="88" t="s">
        <v>57</v>
      </c>
      <c r="J29" s="99" t="s">
        <v>77</v>
      </c>
      <c r="K29" s="51">
        <f>($B$26*$B$26)/(($B$15*$B$15)/K18)</f>
        <v>9.1493383742911156</v>
      </c>
      <c r="L29" s="88" t="s">
        <v>1</v>
      </c>
    </row>
    <row r="30" spans="2:12" x14ac:dyDescent="0.25">
      <c r="B30" s="99" t="s">
        <v>80</v>
      </c>
      <c r="C30" s="51">
        <f t="shared" si="0"/>
        <v>16.46880907372401</v>
      </c>
      <c r="D30" s="88" t="s">
        <v>1</v>
      </c>
      <c r="F30" s="99" t="s">
        <v>102</v>
      </c>
      <c r="G30" s="51">
        <f t="shared" si="1"/>
        <v>32.251417769376182</v>
      </c>
      <c r="H30" s="88" t="s">
        <v>57</v>
      </c>
      <c r="J30" s="41" t="s">
        <v>78</v>
      </c>
      <c r="K30" s="51">
        <f>($B$26*$B$26)/(($B$15*$B$15)/K19)</f>
        <v>9.1493383742911156</v>
      </c>
      <c r="L30" s="88" t="s">
        <v>1</v>
      </c>
    </row>
    <row r="31" spans="2:12" x14ac:dyDescent="0.25">
      <c r="B31" s="99" t="s">
        <v>81</v>
      </c>
      <c r="C31" s="51">
        <f t="shared" si="0"/>
        <v>18.298676748582231</v>
      </c>
      <c r="D31" s="88" t="s">
        <v>1</v>
      </c>
      <c r="F31" s="99" t="s">
        <v>83</v>
      </c>
      <c r="G31" s="51">
        <f t="shared" si="1"/>
        <v>11.284183994959042</v>
      </c>
      <c r="H31" s="88" t="s">
        <v>58</v>
      </c>
      <c r="J31" s="41" t="s">
        <v>79</v>
      </c>
      <c r="K31" s="51">
        <f>($B$26*$B$26)/(($B$15*$B$15)/K20)</f>
        <v>9.1493383742911156</v>
      </c>
      <c r="L31" s="88" t="s">
        <v>1</v>
      </c>
    </row>
    <row r="32" spans="2:12" x14ac:dyDescent="0.25">
      <c r="B32" s="41" t="s">
        <v>78</v>
      </c>
      <c r="C32" s="51">
        <f t="shared" si="0"/>
        <v>9.1493383742911156</v>
      </c>
      <c r="D32" s="88" t="s">
        <v>1</v>
      </c>
      <c r="F32" s="99" t="s">
        <v>103</v>
      </c>
      <c r="G32" s="51">
        <f t="shared" si="1"/>
        <v>12.809073724007561</v>
      </c>
      <c r="H32" s="88" t="s">
        <v>59</v>
      </c>
    </row>
    <row r="33" spans="2:12" x14ac:dyDescent="0.25">
      <c r="B33" s="41" t="s">
        <v>128</v>
      </c>
      <c r="C33" s="51">
        <f t="shared" si="0"/>
        <v>18.298676748582231</v>
      </c>
      <c r="D33" s="88" t="s">
        <v>1</v>
      </c>
      <c r="F33" s="99" t="s">
        <v>84</v>
      </c>
      <c r="G33" s="51">
        <f t="shared" si="1"/>
        <v>19.899810964083173</v>
      </c>
      <c r="H33" s="88" t="s">
        <v>60</v>
      </c>
      <c r="J33" s="100"/>
      <c r="K33" s="51"/>
      <c r="L33" s="88"/>
    </row>
    <row r="34" spans="2:12" ht="30" x14ac:dyDescent="0.25">
      <c r="B34" s="41" t="s">
        <v>79</v>
      </c>
      <c r="C34" s="51">
        <f t="shared" si="0"/>
        <v>9.1493383742911156</v>
      </c>
      <c r="D34" s="88" t="s">
        <v>1</v>
      </c>
      <c r="F34" s="99" t="s">
        <v>104</v>
      </c>
      <c r="G34" s="51">
        <f t="shared" si="1"/>
        <v>28.019848771266542</v>
      </c>
      <c r="H34" s="88" t="s">
        <v>57</v>
      </c>
    </row>
    <row r="35" spans="2:12" ht="30" x14ac:dyDescent="0.25">
      <c r="F35" s="99" t="s">
        <v>105</v>
      </c>
      <c r="G35" s="51">
        <f t="shared" si="1"/>
        <v>56.039697542533084</v>
      </c>
      <c r="H35" s="88" t="s">
        <v>57</v>
      </c>
    </row>
    <row r="39" spans="2:12" x14ac:dyDescent="0.25">
      <c r="B39" s="100"/>
      <c r="C39" s="51"/>
      <c r="D39" s="88"/>
    </row>
    <row r="40" spans="2:12" ht="15.75" thickBot="1" x14ac:dyDescent="0.3"/>
    <row r="41" spans="2:12" ht="15.75" thickBot="1" x14ac:dyDescent="0.3">
      <c r="B41" s="155">
        <v>240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7"/>
    </row>
    <row r="42" spans="2:12" x14ac:dyDescent="0.25">
      <c r="B42" s="99" t="s">
        <v>82</v>
      </c>
      <c r="C42" s="51">
        <f t="shared" ref="C42:C49" si="2">($B$41*$B$41)/(($B$15*$B$15)/C16)</f>
        <v>9.7996219281663528</v>
      </c>
      <c r="D42" s="88" t="s">
        <v>1</v>
      </c>
      <c r="E42" s="101"/>
      <c r="F42" s="98" t="s">
        <v>100</v>
      </c>
      <c r="G42" s="51">
        <f t="shared" ref="G42:G50" si="3">($B$41*$B$41)/(($B$15*$B$15)/G16)</f>
        <v>11.860653524169592</v>
      </c>
      <c r="H42" s="88" t="s">
        <v>57</v>
      </c>
      <c r="I42" s="101"/>
      <c r="J42" s="99" t="s">
        <v>82</v>
      </c>
      <c r="K42" s="51">
        <f>($B$41*$B$41)/(($B$15*$B$15)/K16)</f>
        <v>9.7996219281663528</v>
      </c>
      <c r="L42" s="88" t="s">
        <v>1</v>
      </c>
    </row>
    <row r="43" spans="2:12" x14ac:dyDescent="0.25">
      <c r="B43" s="98" t="s">
        <v>76</v>
      </c>
      <c r="C43" s="51">
        <f t="shared" si="2"/>
        <v>6.5330812854442346</v>
      </c>
      <c r="D43" s="88" t="s">
        <v>1</v>
      </c>
      <c r="F43" s="42" t="s">
        <v>99</v>
      </c>
      <c r="G43" s="51">
        <f t="shared" si="3"/>
        <v>11.795841209829868</v>
      </c>
      <c r="H43" s="88" t="s">
        <v>57</v>
      </c>
      <c r="J43" s="98" t="s">
        <v>76</v>
      </c>
      <c r="K43" s="51">
        <f>($B$41*$B$41)/(($B$15*$B$15)/K17)</f>
        <v>6.5330812854442346</v>
      </c>
      <c r="L43" s="88" t="s">
        <v>1</v>
      </c>
    </row>
    <row r="44" spans="2:12" x14ac:dyDescent="0.25">
      <c r="B44" s="99" t="s">
        <v>77</v>
      </c>
      <c r="C44" s="51">
        <f t="shared" si="2"/>
        <v>10.888468809073723</v>
      </c>
      <c r="D44" s="88" t="s">
        <v>1</v>
      </c>
      <c r="F44" s="99" t="s">
        <v>101</v>
      </c>
      <c r="G44" s="51">
        <f t="shared" si="3"/>
        <v>29.194706994328921</v>
      </c>
      <c r="H44" s="88" t="s">
        <v>57</v>
      </c>
      <c r="J44" s="99" t="s">
        <v>77</v>
      </c>
      <c r="K44" s="51">
        <f>($B$41*$B$41)/(($B$15*$B$15)/K18)</f>
        <v>10.888468809073723</v>
      </c>
      <c r="L44" s="88" t="s">
        <v>1</v>
      </c>
    </row>
    <row r="45" spans="2:12" x14ac:dyDescent="0.25">
      <c r="B45" s="99" t="s">
        <v>80</v>
      </c>
      <c r="C45" s="51">
        <f t="shared" si="2"/>
        <v>19.599243856332706</v>
      </c>
      <c r="D45" s="88" t="s">
        <v>1</v>
      </c>
      <c r="F45" s="99" t="s">
        <v>102</v>
      </c>
      <c r="G45" s="51">
        <f t="shared" si="3"/>
        <v>38.381852551984878</v>
      </c>
      <c r="H45" s="88" t="s">
        <v>57</v>
      </c>
      <c r="J45" s="41" t="s">
        <v>78</v>
      </c>
      <c r="K45" s="51">
        <f>($B$41*$B$41)/(($B$15*$B$15)/K19)</f>
        <v>10.888468809073723</v>
      </c>
      <c r="L45" s="88" t="s">
        <v>1</v>
      </c>
    </row>
    <row r="46" spans="2:12" x14ac:dyDescent="0.25">
      <c r="B46" s="99" t="s">
        <v>81</v>
      </c>
      <c r="C46" s="51">
        <f t="shared" si="2"/>
        <v>21.776937618147446</v>
      </c>
      <c r="D46" s="88" t="s">
        <v>1</v>
      </c>
      <c r="F46" s="99" t="s">
        <v>83</v>
      </c>
      <c r="G46" s="51">
        <f t="shared" si="3"/>
        <v>13.429111531190927</v>
      </c>
      <c r="H46" s="88" t="s">
        <v>58</v>
      </c>
      <c r="J46" s="41" t="s">
        <v>79</v>
      </c>
      <c r="K46" s="51">
        <f>($B$41*$B$41)/(($B$15*$B$15)/K20)</f>
        <v>10.888468809073723</v>
      </c>
      <c r="L46" s="88" t="s">
        <v>1</v>
      </c>
    </row>
    <row r="47" spans="2:12" x14ac:dyDescent="0.25">
      <c r="B47" s="41" t="s">
        <v>78</v>
      </c>
      <c r="C47" s="51">
        <f t="shared" si="2"/>
        <v>10.888468809073723</v>
      </c>
      <c r="D47" s="88" t="s">
        <v>1</v>
      </c>
      <c r="F47" s="99" t="s">
        <v>103</v>
      </c>
      <c r="G47" s="51">
        <f t="shared" si="3"/>
        <v>15.243856332703213</v>
      </c>
      <c r="H47" s="88" t="s">
        <v>59</v>
      </c>
    </row>
    <row r="48" spans="2:12" x14ac:dyDescent="0.25">
      <c r="B48" s="41" t="s">
        <v>128</v>
      </c>
      <c r="C48" s="51">
        <f t="shared" si="2"/>
        <v>21.776937618147446</v>
      </c>
      <c r="D48" s="88" t="s">
        <v>1</v>
      </c>
      <c r="F48" s="99" t="s">
        <v>84</v>
      </c>
      <c r="G48" s="51">
        <f t="shared" si="3"/>
        <v>23.682419659735348</v>
      </c>
      <c r="H48" s="88" t="s">
        <v>60</v>
      </c>
    </row>
    <row r="49" spans="2:12" ht="30" x14ac:dyDescent="0.25">
      <c r="B49" s="41" t="s">
        <v>79</v>
      </c>
      <c r="C49" s="51">
        <f t="shared" si="2"/>
        <v>10.888468809073723</v>
      </c>
      <c r="D49" s="88" t="s">
        <v>1</v>
      </c>
      <c r="F49" s="99" t="s">
        <v>104</v>
      </c>
      <c r="G49" s="51">
        <f t="shared" si="3"/>
        <v>33.34593572778828</v>
      </c>
      <c r="H49" s="88" t="s">
        <v>57</v>
      </c>
      <c r="J49" s="100"/>
      <c r="K49" s="51"/>
      <c r="L49" s="88"/>
    </row>
    <row r="50" spans="2:12" ht="30" x14ac:dyDescent="0.25">
      <c r="F50" s="99" t="s">
        <v>105</v>
      </c>
      <c r="G50" s="51">
        <f t="shared" si="3"/>
        <v>66.69187145557656</v>
      </c>
      <c r="H50" s="88" t="s">
        <v>57</v>
      </c>
    </row>
    <row r="54" spans="2:12" x14ac:dyDescent="0.25">
      <c r="B54" s="100"/>
      <c r="C54" s="51"/>
      <c r="D54" s="88"/>
    </row>
  </sheetData>
  <mergeCells count="9">
    <mergeCell ref="B41:L41"/>
    <mergeCell ref="C8:H8"/>
    <mergeCell ref="B8:B9"/>
    <mergeCell ref="B4:B5"/>
    <mergeCell ref="B2:G2"/>
    <mergeCell ref="B3:G3"/>
    <mergeCell ref="C4:G4"/>
    <mergeCell ref="B15:L15"/>
    <mergeCell ref="B26:L26"/>
  </mergeCells>
  <pageMargins left="0.7" right="0.7" top="0.75" bottom="0.75" header="0.3" footer="0.3"/>
  <pageSetup paperSize="9" orientation="portrait" r:id="rId1"/>
  <headerFooter>
    <oddFooter>&amp;C&amp;1#&amp;"Calibri"&amp;10&amp;K000000Classified as Business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062A-F9BE-4FB4-8E4B-E47F1024DB9E}">
  <dimension ref="B2:B6"/>
  <sheetViews>
    <sheetView workbookViewId="0">
      <selection activeCell="E5" sqref="E5"/>
    </sheetView>
  </sheetViews>
  <sheetFormatPr defaultRowHeight="15" x14ac:dyDescent="0.25"/>
  <cols>
    <col min="3" max="3" width="24.140625" customWidth="1"/>
  </cols>
  <sheetData>
    <row r="2" spans="2:2" ht="125.25" customHeight="1" x14ac:dyDescent="0.25">
      <c r="B2">
        <v>1</v>
      </c>
    </row>
    <row r="3" spans="2:2" ht="126.75" customHeight="1" x14ac:dyDescent="0.25">
      <c r="B3">
        <v>2</v>
      </c>
    </row>
    <row r="4" spans="2:2" ht="125.25" customHeight="1" x14ac:dyDescent="0.25">
      <c r="B4">
        <v>3</v>
      </c>
    </row>
    <row r="5" spans="2:2" ht="125.25" customHeight="1" x14ac:dyDescent="0.25">
      <c r="B5">
        <v>4</v>
      </c>
    </row>
    <row r="6" spans="2:2" ht="125.25" customHeight="1" x14ac:dyDescent="0.25">
      <c r="B6" t="s">
        <v>115</v>
      </c>
    </row>
  </sheetData>
  <pageMargins left="0.7" right="0.7" top="0.75" bottom="0.75" header="0.3" footer="0.3"/>
  <pageSetup paperSize="9" orientation="portrait" r:id="rId1"/>
  <headerFooter>
    <oddFooter>&amp;C&amp;1#&amp;"Calibri"&amp;10&amp;K000000Classified as Business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Straight line installation</vt:lpstr>
      <vt:lpstr>Spiral installation</vt:lpstr>
      <vt:lpstr>Sheet2</vt:lpstr>
      <vt:lpstr>Sheet3</vt:lpstr>
      <vt:lpstr>Sheet4</vt:lpstr>
      <vt:lpstr>Plastic1</vt:lpstr>
      <vt:lpstr>Resistive</vt:lpstr>
      <vt:lpstr>Self</vt:lpstr>
      <vt:lpstr>'Spiral installation'!Выбор</vt:lpstr>
      <vt:lpstr>Выбор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2022-07-05T12:26:02Z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6a82de-332f-43b8-a8a7-1928fd67507f_Enabled">
    <vt:lpwstr>true</vt:lpwstr>
  </property>
  <property fmtid="{D5CDD505-2E9C-101B-9397-08002B2CF9AE}" pid="3" name="MSIP_Label_8d6a82de-332f-43b8-a8a7-1928fd67507f_SetDate">
    <vt:lpwstr>2020-03-02T09:14:43Z</vt:lpwstr>
  </property>
  <property fmtid="{D5CDD505-2E9C-101B-9397-08002B2CF9AE}" pid="4" name="MSIP_Label_8d6a82de-332f-43b8-a8a7-1928fd67507f_Method">
    <vt:lpwstr>Standard</vt:lpwstr>
  </property>
  <property fmtid="{D5CDD505-2E9C-101B-9397-08002B2CF9AE}" pid="5" name="MSIP_Label_8d6a82de-332f-43b8-a8a7-1928fd67507f_Name">
    <vt:lpwstr>1. Business</vt:lpwstr>
  </property>
  <property fmtid="{D5CDD505-2E9C-101B-9397-08002B2CF9AE}" pid="6" name="MSIP_Label_8d6a82de-332f-43b8-a8a7-1928fd67507f_SiteId">
    <vt:lpwstr>097464b8-069c-453e-9254-c17ec707310d</vt:lpwstr>
  </property>
  <property fmtid="{D5CDD505-2E9C-101B-9397-08002B2CF9AE}" pid="7" name="MSIP_Label_8d6a82de-332f-43b8-a8a7-1928fd67507f_ActionId">
    <vt:lpwstr>16d10826-4d99-4c90-b537-0000f0d5cd32</vt:lpwstr>
  </property>
  <property fmtid="{D5CDD505-2E9C-101B-9397-08002B2CF9AE}" pid="8" name="MSIP_Label_8d6a82de-332f-43b8-a8a7-1928fd67507f_ContentBits">
    <vt:lpwstr>2</vt:lpwstr>
  </property>
</Properties>
</file>